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ach\AppData\Local\Box\Box Edit\Documents\UWiwsf30QEaYATnE8q6vDA==\"/>
    </mc:Choice>
  </mc:AlternateContent>
  <xr:revisionPtr revIDLastSave="0" documentId="13_ncr:1_{AE914F5B-90EC-41B0-9F0F-31DECD1BA9E9}" xr6:coauthVersionLast="47" xr6:coauthVersionMax="47" xr10:uidLastSave="{00000000-0000-0000-0000-000000000000}"/>
  <workbookProtection workbookAlgorithmName="SHA-512" workbookHashValue="Hqg8FIUqRMG13n63a8/el6SMlPOqR5QrdeJ0olzn+YwCsGz1+HNyp3x7TPjnDHYwdMon2nNRqJHxsOI/TVz3Fw==" workbookSaltValue="+ff7c13EI+kqh27HO3B0Jw==" workbookSpinCount="100000" lockStructure="1"/>
  <bookViews>
    <workbookView xWindow="-24630" yWindow="735" windowWidth="23865" windowHeight="14850" firstSheet="4" activeTab="4" xr2:uid="{2321DE15-4D54-4496-942E-828EE6290DED}"/>
  </bookViews>
  <sheets>
    <sheet name="2011 MC Topline 12YA" sheetId="9" state="hidden" r:id="rId1"/>
    <sheet name="2012 Topline Reports" sheetId="1" state="hidden" r:id="rId2"/>
    <sheet name="2013-2015" sheetId="4" state="hidden" r:id="rId3"/>
    <sheet name="2016-2021YTD" sheetId="3" state="hidden" r:id="rId4"/>
    <sheet name="Dollar Sales" sheetId="6" r:id="rId5"/>
    <sheet name="Lbs" sheetId="7" r:id="rId6"/>
    <sheet name="Price per Lb" sheetId="8" r:id="rId7"/>
  </sheets>
  <definedNames>
    <definedName name="_xlnm.Print_Area" localSheetId="2">'2013-2015'!$A$5:$E$11</definedName>
    <definedName name="_xlnm.Print_Area" localSheetId="3">'2016-2021YTD'!$A$1:$H$85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9" i="8" l="1"/>
  <c r="M20" i="8"/>
  <c r="M21" i="8"/>
  <c r="L21" i="8"/>
  <c r="L20" i="8"/>
  <c r="M20" i="7"/>
  <c r="M21" i="7"/>
  <c r="L21" i="7"/>
  <c r="L20" i="7"/>
  <c r="M20" i="6"/>
  <c r="M21" i="6"/>
  <c r="L21" i="6"/>
  <c r="L20" i="6"/>
  <c r="L55" i="3"/>
  <c r="T25" i="3"/>
  <c r="L25" i="3"/>
  <c r="L16" i="8"/>
  <c r="F28" i="8"/>
  <c r="E28" i="8"/>
  <c r="D28" i="8"/>
  <c r="F26" i="8"/>
  <c r="E26" i="8"/>
  <c r="D26" i="8"/>
  <c r="F24" i="8"/>
  <c r="E24" i="8"/>
  <c r="D24" i="8"/>
  <c r="F22" i="8"/>
  <c r="E22" i="8"/>
  <c r="D22" i="8"/>
  <c r="F20" i="8"/>
  <c r="E20" i="8"/>
  <c r="D20" i="8"/>
  <c r="F18" i="8"/>
  <c r="E18" i="8"/>
  <c r="D18" i="8"/>
  <c r="F16" i="8"/>
  <c r="E16" i="8"/>
  <c r="D16" i="8"/>
  <c r="F14" i="8"/>
  <c r="E14" i="8"/>
  <c r="D14" i="8"/>
  <c r="F12" i="8"/>
  <c r="E12" i="8"/>
  <c r="D12" i="8"/>
  <c r="F10" i="8"/>
  <c r="E10" i="8"/>
  <c r="D10" i="8"/>
  <c r="F8" i="8"/>
  <c r="E8" i="8"/>
  <c r="D8" i="8"/>
  <c r="F6" i="8"/>
  <c r="E6" i="8"/>
  <c r="D6" i="8"/>
  <c r="E4" i="8"/>
  <c r="F4" i="8"/>
  <c r="D4" i="8"/>
  <c r="C28" i="8"/>
  <c r="C26" i="8"/>
  <c r="C24" i="8"/>
  <c r="C22" i="8"/>
  <c r="C20" i="8"/>
  <c r="C18" i="8"/>
  <c r="C16" i="8"/>
  <c r="C14" i="8"/>
  <c r="C12" i="8"/>
  <c r="C10" i="8"/>
  <c r="C8" i="8"/>
  <c r="C6" i="8"/>
  <c r="C4" i="8"/>
  <c r="C27" i="8" s="1"/>
  <c r="B28" i="8"/>
  <c r="B26" i="8"/>
  <c r="B29" i="8" s="1"/>
  <c r="B24" i="8"/>
  <c r="B22" i="8"/>
  <c r="B20" i="8"/>
  <c r="B18" i="8"/>
  <c r="B16" i="8"/>
  <c r="B14" i="8"/>
  <c r="B12" i="8"/>
  <c r="B10" i="8"/>
  <c r="B8" i="8"/>
  <c r="B6" i="8"/>
  <c r="B4" i="8"/>
  <c r="F28" i="7"/>
  <c r="E28" i="7"/>
  <c r="D28" i="7"/>
  <c r="F26" i="7"/>
  <c r="E26" i="7"/>
  <c r="D26" i="7"/>
  <c r="F24" i="7"/>
  <c r="E24" i="7"/>
  <c r="D24" i="7"/>
  <c r="F22" i="7"/>
  <c r="E22" i="7"/>
  <c r="D22" i="7"/>
  <c r="F20" i="7"/>
  <c r="E20" i="7"/>
  <c r="D20" i="7"/>
  <c r="F18" i="7"/>
  <c r="E18" i="7"/>
  <c r="D18" i="7"/>
  <c r="F16" i="7"/>
  <c r="E16" i="7"/>
  <c r="D16" i="7"/>
  <c r="F14" i="7"/>
  <c r="E14" i="7"/>
  <c r="D14" i="7"/>
  <c r="F12" i="7"/>
  <c r="E12" i="7"/>
  <c r="D12" i="7"/>
  <c r="F10" i="7"/>
  <c r="E10" i="7"/>
  <c r="D10" i="7"/>
  <c r="F8" i="7"/>
  <c r="E8" i="7"/>
  <c r="D8" i="7"/>
  <c r="F6" i="7"/>
  <c r="E6" i="7"/>
  <c r="D6" i="7"/>
  <c r="F4" i="7"/>
  <c r="E4" i="7"/>
  <c r="D4" i="7"/>
  <c r="C28" i="7"/>
  <c r="C26" i="7"/>
  <c r="C24" i="7"/>
  <c r="C22" i="7"/>
  <c r="C20" i="7"/>
  <c r="C18" i="7"/>
  <c r="C16" i="7"/>
  <c r="C14" i="7"/>
  <c r="C12" i="7"/>
  <c r="C10" i="7"/>
  <c r="C8" i="7"/>
  <c r="C6" i="7"/>
  <c r="C4" i="7"/>
  <c r="B28" i="7"/>
  <c r="B26" i="7"/>
  <c r="B24" i="7"/>
  <c r="B22" i="7"/>
  <c r="B20" i="7"/>
  <c r="B18" i="7"/>
  <c r="B16" i="7"/>
  <c r="B14" i="7"/>
  <c r="B12" i="7"/>
  <c r="B10" i="7"/>
  <c r="B8" i="7"/>
  <c r="B6" i="7"/>
  <c r="B4" i="7"/>
  <c r="B7" i="7"/>
  <c r="L16" i="6"/>
  <c r="F28" i="6"/>
  <c r="E28" i="6"/>
  <c r="D28" i="6"/>
  <c r="F26" i="6"/>
  <c r="E26" i="6"/>
  <c r="D26" i="6"/>
  <c r="F24" i="6"/>
  <c r="E24" i="6"/>
  <c r="D24" i="6"/>
  <c r="F22" i="6"/>
  <c r="E22" i="6"/>
  <c r="D22" i="6"/>
  <c r="F20" i="6"/>
  <c r="E20" i="6"/>
  <c r="D20" i="6"/>
  <c r="F18" i="6"/>
  <c r="E18" i="6"/>
  <c r="D18" i="6"/>
  <c r="F16" i="6"/>
  <c r="E16" i="6"/>
  <c r="D16" i="6"/>
  <c r="F14" i="6"/>
  <c r="E14" i="6"/>
  <c r="D14" i="6"/>
  <c r="F12" i="6"/>
  <c r="E12" i="6"/>
  <c r="D12" i="6"/>
  <c r="F10" i="6"/>
  <c r="E10" i="6"/>
  <c r="D10" i="6"/>
  <c r="F8" i="6"/>
  <c r="E8" i="6"/>
  <c r="D8" i="6"/>
  <c r="F6" i="6"/>
  <c r="E6" i="6"/>
  <c r="D6" i="6"/>
  <c r="F4" i="6"/>
  <c r="E4" i="6"/>
  <c r="D4" i="6"/>
  <c r="C28" i="6"/>
  <c r="C26" i="6"/>
  <c r="C24" i="6"/>
  <c r="C22" i="6"/>
  <c r="C20" i="6"/>
  <c r="C18" i="6"/>
  <c r="C16" i="6"/>
  <c r="C14" i="6"/>
  <c r="C12" i="6"/>
  <c r="C10" i="6"/>
  <c r="C8" i="6"/>
  <c r="C6" i="6"/>
  <c r="C4" i="6"/>
  <c r="C5" i="6" s="1"/>
  <c r="B28" i="6"/>
  <c r="B26" i="6"/>
  <c r="B24" i="6"/>
  <c r="B22" i="6"/>
  <c r="B20" i="6"/>
  <c r="B18" i="6"/>
  <c r="B16" i="6"/>
  <c r="B14" i="6"/>
  <c r="B12" i="6"/>
  <c r="B10" i="6"/>
  <c r="B8" i="6"/>
  <c r="B6" i="6"/>
  <c r="B4" i="6"/>
  <c r="B5" i="6" s="1"/>
  <c r="B7" i="6" s="1"/>
  <c r="B9" i="6" s="1"/>
  <c r="T23" i="3"/>
  <c r="L18" i="7" s="1"/>
  <c r="L53" i="3"/>
  <c r="L18" i="8" s="1"/>
  <c r="L23" i="3"/>
  <c r="L18" i="6" s="1"/>
  <c r="T21" i="3"/>
  <c r="L16" i="7" s="1"/>
  <c r="T19" i="3"/>
  <c r="L14" i="7" s="1"/>
  <c r="L51" i="3"/>
  <c r="L49" i="3"/>
  <c r="L14" i="8" s="1"/>
  <c r="L21" i="3"/>
  <c r="L19" i="3"/>
  <c r="L14" i="6" s="1"/>
  <c r="B27" i="8"/>
  <c r="B25" i="8"/>
  <c r="C25" i="8"/>
  <c r="B23" i="8"/>
  <c r="C23" i="8"/>
  <c r="B21" i="8"/>
  <c r="C21" i="8"/>
  <c r="B19" i="8"/>
  <c r="C19" i="8"/>
  <c r="B17" i="8"/>
  <c r="C17" i="8"/>
  <c r="B15" i="8"/>
  <c r="C15" i="8"/>
  <c r="B13" i="8"/>
  <c r="C13" i="8"/>
  <c r="B11" i="8"/>
  <c r="C11" i="8"/>
  <c r="B9" i="8"/>
  <c r="C9" i="8"/>
  <c r="B7" i="8"/>
  <c r="C7" i="8"/>
  <c r="B5" i="8"/>
  <c r="C5" i="8"/>
  <c r="L20" i="1"/>
  <c r="L7" i="1"/>
  <c r="L8" i="1"/>
  <c r="L9" i="1"/>
  <c r="L10" i="1"/>
  <c r="L11" i="1"/>
  <c r="L12" i="1"/>
  <c r="L13" i="1"/>
  <c r="L14" i="1"/>
  <c r="L15" i="1"/>
  <c r="L16" i="1"/>
  <c r="L17" i="1"/>
  <c r="L18" i="1"/>
  <c r="L6" i="1"/>
  <c r="C7" i="7"/>
  <c r="C9" i="7" s="1"/>
  <c r="C11" i="7" s="1"/>
  <c r="C13" i="7" s="1"/>
  <c r="C15" i="7" s="1"/>
  <c r="C17" i="7" s="1"/>
  <c r="C19" i="7" s="1"/>
  <c r="C21" i="7" s="1"/>
  <c r="C23" i="7" s="1"/>
  <c r="C25" i="7" s="1"/>
  <c r="C27" i="7" s="1"/>
  <c r="B5" i="7"/>
  <c r="C5" i="7"/>
  <c r="J7" i="1"/>
  <c r="K7" i="1"/>
  <c r="K20" i="1" s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K6" i="1"/>
  <c r="J6" i="1"/>
  <c r="J20" i="1"/>
  <c r="J20" i="9"/>
  <c r="I20" i="9"/>
  <c r="H20" i="9"/>
  <c r="H7" i="9"/>
  <c r="J7" i="9" s="1"/>
  <c r="I7" i="9"/>
  <c r="H8" i="9"/>
  <c r="I8" i="9"/>
  <c r="J8" i="9"/>
  <c r="H9" i="9"/>
  <c r="I9" i="9"/>
  <c r="J9" i="9"/>
  <c r="H10" i="9"/>
  <c r="J10" i="9" s="1"/>
  <c r="I10" i="9"/>
  <c r="H11" i="9"/>
  <c r="J11" i="9" s="1"/>
  <c r="I11" i="9"/>
  <c r="H12" i="9"/>
  <c r="I12" i="9"/>
  <c r="J12" i="9"/>
  <c r="H13" i="9"/>
  <c r="I13" i="9"/>
  <c r="J13" i="9"/>
  <c r="H14" i="9"/>
  <c r="J14" i="9" s="1"/>
  <c r="I14" i="9"/>
  <c r="H15" i="9"/>
  <c r="J15" i="9" s="1"/>
  <c r="I15" i="9"/>
  <c r="H16" i="9"/>
  <c r="I16" i="9"/>
  <c r="J16" i="9"/>
  <c r="H17" i="9"/>
  <c r="I17" i="9"/>
  <c r="J17" i="9"/>
  <c r="H18" i="9"/>
  <c r="J18" i="9" s="1"/>
  <c r="I18" i="9"/>
  <c r="I6" i="9"/>
  <c r="H6" i="9"/>
  <c r="J6" i="9"/>
  <c r="D7" i="9"/>
  <c r="E7" i="9"/>
  <c r="D8" i="9"/>
  <c r="E8" i="9"/>
  <c r="F8" i="9"/>
  <c r="D9" i="9"/>
  <c r="E9" i="9"/>
  <c r="D10" i="9"/>
  <c r="E10" i="9"/>
  <c r="D11" i="9"/>
  <c r="E11" i="9"/>
  <c r="D12" i="9"/>
  <c r="E12" i="9"/>
  <c r="D13" i="9"/>
  <c r="E13" i="9"/>
  <c r="D14" i="9"/>
  <c r="E14" i="9"/>
  <c r="D15" i="9"/>
  <c r="E15" i="9"/>
  <c r="D16" i="9"/>
  <c r="E16" i="9"/>
  <c r="D17" i="9"/>
  <c r="E17" i="9"/>
  <c r="D18" i="9"/>
  <c r="E18" i="9"/>
  <c r="F18" i="9"/>
  <c r="E6" i="9"/>
  <c r="D6" i="9"/>
  <c r="F20" i="1"/>
  <c r="D20" i="1"/>
  <c r="H20" i="1" s="1"/>
  <c r="B29" i="7" l="1"/>
  <c r="B9" i="7"/>
  <c r="B11" i="7" s="1"/>
  <c r="B13" i="7" s="1"/>
  <c r="B15" i="7" s="1"/>
  <c r="B17" i="7" s="1"/>
  <c r="B19" i="7" s="1"/>
  <c r="B21" i="7" s="1"/>
  <c r="B23" i="7" s="1"/>
  <c r="B25" i="7" s="1"/>
  <c r="B27" i="7" s="1"/>
  <c r="C7" i="6"/>
  <c r="C9" i="6" s="1"/>
  <c r="C11" i="6" s="1"/>
  <c r="C13" i="6" s="1"/>
  <c r="C15" i="6" s="1"/>
  <c r="C17" i="6" s="1"/>
  <c r="C19" i="6" s="1"/>
  <c r="C21" i="6" s="1"/>
  <c r="C23" i="6" s="1"/>
  <c r="C25" i="6" s="1"/>
  <c r="C27" i="6" s="1"/>
  <c r="B11" i="6"/>
  <c r="B13" i="6" s="1"/>
  <c r="B15" i="6" s="1"/>
  <c r="B17" i="6" s="1"/>
  <c r="B19" i="6" s="1"/>
  <c r="B21" i="6" s="1"/>
  <c r="B23" i="6" s="1"/>
  <c r="B25" i="6" s="1"/>
  <c r="B27" i="6" s="1"/>
  <c r="B29" i="6"/>
  <c r="F14" i="9"/>
  <c r="F12" i="9"/>
  <c r="F10" i="9"/>
  <c r="F17" i="9"/>
  <c r="F13" i="9"/>
  <c r="F9" i="9"/>
  <c r="F7" i="9"/>
  <c r="F15" i="9"/>
  <c r="D20" i="9"/>
  <c r="F11" i="9"/>
  <c r="E20" i="9"/>
  <c r="F16" i="9"/>
  <c r="H7" i="1" l="1"/>
  <c r="H8" i="1"/>
  <c r="H9" i="1"/>
  <c r="H10" i="1"/>
  <c r="H11" i="1"/>
  <c r="H12" i="1"/>
  <c r="H13" i="1"/>
  <c r="H14" i="1"/>
  <c r="H15" i="1"/>
  <c r="H16" i="1"/>
  <c r="H17" i="1"/>
  <c r="H18" i="1"/>
  <c r="H6" i="1"/>
  <c r="F6" i="9" l="1"/>
  <c r="G9" i="8" l="1"/>
  <c r="K9" i="8"/>
  <c r="G7" i="8"/>
  <c r="I7" i="8"/>
  <c r="K7" i="8"/>
  <c r="G5" i="8"/>
  <c r="J5" i="8"/>
  <c r="K5" i="8"/>
  <c r="M10" i="8"/>
  <c r="D27" i="8"/>
  <c r="E27" i="8"/>
  <c r="F27" i="8"/>
  <c r="D25" i="8"/>
  <c r="E25" i="8"/>
  <c r="F25" i="8"/>
  <c r="D23" i="8"/>
  <c r="E23" i="8"/>
  <c r="F23" i="8"/>
  <c r="D21" i="8"/>
  <c r="E21" i="8"/>
  <c r="F21" i="8"/>
  <c r="D19" i="8"/>
  <c r="E19" i="8"/>
  <c r="F19" i="8"/>
  <c r="D17" i="8"/>
  <c r="E17" i="8"/>
  <c r="F17" i="8"/>
  <c r="D15" i="8"/>
  <c r="E15" i="8"/>
  <c r="F15" i="8"/>
  <c r="D13" i="8"/>
  <c r="E13" i="8"/>
  <c r="F13" i="8"/>
  <c r="D11" i="8"/>
  <c r="E11" i="8"/>
  <c r="F11" i="8"/>
  <c r="D9" i="8"/>
  <c r="E9" i="8"/>
  <c r="F9" i="8"/>
  <c r="D7" i="8"/>
  <c r="E7" i="8"/>
  <c r="F7" i="8"/>
  <c r="D5" i="8"/>
  <c r="E5" i="8"/>
  <c r="F5" i="8"/>
  <c r="E29" i="8"/>
  <c r="F29" i="8"/>
  <c r="M8" i="8"/>
  <c r="D29" i="8"/>
  <c r="C29" i="8"/>
  <c r="C30" i="8" s="1"/>
  <c r="G5" i="7"/>
  <c r="G7" i="7" s="1"/>
  <c r="G9" i="7" s="1"/>
  <c r="K5" i="7"/>
  <c r="M10" i="7"/>
  <c r="D5" i="7"/>
  <c r="D7" i="7" s="1"/>
  <c r="D9" i="7" s="1"/>
  <c r="D11" i="7" s="1"/>
  <c r="D13" i="7" s="1"/>
  <c r="D15" i="7" s="1"/>
  <c r="D17" i="7" s="1"/>
  <c r="D19" i="7" s="1"/>
  <c r="D21" i="7" s="1"/>
  <c r="D23" i="7" s="1"/>
  <c r="D25" i="7" s="1"/>
  <c r="D27" i="7" s="1"/>
  <c r="E5" i="7"/>
  <c r="E7" i="7" s="1"/>
  <c r="E9" i="7" s="1"/>
  <c r="E11" i="7" s="1"/>
  <c r="E13" i="7" s="1"/>
  <c r="E15" i="7" s="1"/>
  <c r="E17" i="7" s="1"/>
  <c r="E19" i="7" s="1"/>
  <c r="E21" i="7" s="1"/>
  <c r="E23" i="7" s="1"/>
  <c r="E25" i="7" s="1"/>
  <c r="E27" i="7" s="1"/>
  <c r="F5" i="7"/>
  <c r="F7" i="7" s="1"/>
  <c r="F9" i="7" s="1"/>
  <c r="F11" i="7" s="1"/>
  <c r="F13" i="7" s="1"/>
  <c r="F15" i="7" s="1"/>
  <c r="F17" i="7" s="1"/>
  <c r="F19" i="7" s="1"/>
  <c r="F21" i="7" s="1"/>
  <c r="F23" i="7" s="1"/>
  <c r="F25" i="7" s="1"/>
  <c r="F27" i="7" s="1"/>
  <c r="D29" i="7"/>
  <c r="E29" i="7"/>
  <c r="F29" i="7"/>
  <c r="M33" i="4"/>
  <c r="N33" i="4"/>
  <c r="M31" i="4"/>
  <c r="N31" i="4"/>
  <c r="M29" i="4"/>
  <c r="N29" i="4"/>
  <c r="L33" i="4"/>
  <c r="L31" i="4"/>
  <c r="L29" i="4"/>
  <c r="M27" i="4"/>
  <c r="N27" i="4"/>
  <c r="L27" i="4"/>
  <c r="M25" i="4"/>
  <c r="N25" i="4"/>
  <c r="L25" i="4"/>
  <c r="M23" i="4"/>
  <c r="N23" i="4"/>
  <c r="L23" i="4"/>
  <c r="M21" i="4"/>
  <c r="N21" i="4"/>
  <c r="L21" i="4"/>
  <c r="M19" i="4"/>
  <c r="N19" i="4"/>
  <c r="L19" i="4"/>
  <c r="M17" i="4"/>
  <c r="N17" i="4"/>
  <c r="L17" i="4"/>
  <c r="M15" i="4"/>
  <c r="N15" i="4"/>
  <c r="L15" i="4"/>
  <c r="M13" i="4"/>
  <c r="N13" i="4"/>
  <c r="L13" i="4"/>
  <c r="M11" i="4"/>
  <c r="N11" i="4"/>
  <c r="L11" i="4"/>
  <c r="M9" i="4"/>
  <c r="N9" i="4"/>
  <c r="L9" i="4"/>
  <c r="N32" i="4"/>
  <c r="M32" i="4"/>
  <c r="L32" i="4"/>
  <c r="N30" i="4"/>
  <c r="M30" i="4"/>
  <c r="L30" i="4"/>
  <c r="N28" i="4"/>
  <c r="M28" i="4"/>
  <c r="L28" i="4"/>
  <c r="N26" i="4"/>
  <c r="M26" i="4"/>
  <c r="L26" i="4"/>
  <c r="N24" i="4"/>
  <c r="M24" i="4"/>
  <c r="L24" i="4"/>
  <c r="N22" i="4"/>
  <c r="M22" i="4"/>
  <c r="L22" i="4"/>
  <c r="N20" i="4"/>
  <c r="M20" i="4"/>
  <c r="L20" i="4"/>
  <c r="N18" i="4"/>
  <c r="M18" i="4"/>
  <c r="L18" i="4"/>
  <c r="N16" i="4"/>
  <c r="M16" i="4"/>
  <c r="L16" i="4"/>
  <c r="N14" i="4"/>
  <c r="M14" i="4"/>
  <c r="L14" i="4"/>
  <c r="N12" i="4"/>
  <c r="M12" i="4"/>
  <c r="L12" i="4"/>
  <c r="N10" i="4"/>
  <c r="M10" i="4"/>
  <c r="L10" i="4"/>
  <c r="M8" i="4"/>
  <c r="N8" i="4"/>
  <c r="L8" i="4"/>
  <c r="I34" i="4"/>
  <c r="H34" i="4"/>
  <c r="C29" i="7"/>
  <c r="C30" i="7" s="1"/>
  <c r="M6" i="6"/>
  <c r="P19" i="3"/>
  <c r="H14" i="7" s="1"/>
  <c r="Q19" i="3"/>
  <c r="I14" i="7" s="1"/>
  <c r="R19" i="3"/>
  <c r="J14" i="7" s="1"/>
  <c r="S19" i="3"/>
  <c r="K14" i="7" s="1"/>
  <c r="M14" i="7" s="1"/>
  <c r="P21" i="3"/>
  <c r="H16" i="7" s="1"/>
  <c r="Q21" i="3"/>
  <c r="I16" i="7" s="1"/>
  <c r="R21" i="3"/>
  <c r="J16" i="7" s="1"/>
  <c r="S21" i="3"/>
  <c r="K16" i="7" s="1"/>
  <c r="M16" i="7" s="1"/>
  <c r="P23" i="3"/>
  <c r="H18" i="7" s="1"/>
  <c r="Q23" i="3"/>
  <c r="I18" i="7" s="1"/>
  <c r="R23" i="3"/>
  <c r="J18" i="7" s="1"/>
  <c r="S23" i="3"/>
  <c r="K18" i="7" s="1"/>
  <c r="M18" i="7" s="1"/>
  <c r="P25" i="3"/>
  <c r="H20" i="7" s="1"/>
  <c r="Q25" i="3"/>
  <c r="I20" i="7" s="1"/>
  <c r="R25" i="3"/>
  <c r="J20" i="7" s="1"/>
  <c r="S25" i="3"/>
  <c r="K20" i="7" s="1"/>
  <c r="P27" i="3"/>
  <c r="H22" i="7" s="1"/>
  <c r="Q27" i="3"/>
  <c r="I22" i="7" s="1"/>
  <c r="R27" i="3"/>
  <c r="J22" i="7" s="1"/>
  <c r="S27" i="3"/>
  <c r="K22" i="7" s="1"/>
  <c r="P29" i="3"/>
  <c r="H24" i="7" s="1"/>
  <c r="Q29" i="3"/>
  <c r="I24" i="7" s="1"/>
  <c r="R29" i="3"/>
  <c r="J24" i="7" s="1"/>
  <c r="S29" i="3"/>
  <c r="K24" i="7" s="1"/>
  <c r="P31" i="3"/>
  <c r="H26" i="7" s="1"/>
  <c r="Q31" i="3"/>
  <c r="I26" i="7" s="1"/>
  <c r="R31" i="3"/>
  <c r="J26" i="7" s="1"/>
  <c r="S31" i="3"/>
  <c r="K26" i="7" s="1"/>
  <c r="P33" i="3"/>
  <c r="H28" i="7" s="1"/>
  <c r="Q33" i="3"/>
  <c r="I28" i="7" s="1"/>
  <c r="R33" i="3"/>
  <c r="J28" i="7" s="1"/>
  <c r="S33" i="3"/>
  <c r="K28" i="7" s="1"/>
  <c r="P11" i="3"/>
  <c r="H6" i="7" s="1"/>
  <c r="Q11" i="3"/>
  <c r="I6" i="7" s="1"/>
  <c r="R11" i="3"/>
  <c r="J6" i="7" s="1"/>
  <c r="S11" i="3"/>
  <c r="K6" i="7" s="1"/>
  <c r="T11" i="3"/>
  <c r="L6" i="7" s="1"/>
  <c r="M6" i="7" s="1"/>
  <c r="P13" i="3"/>
  <c r="H8" i="7" s="1"/>
  <c r="Q13" i="3"/>
  <c r="I8" i="7" s="1"/>
  <c r="R13" i="3"/>
  <c r="J8" i="7" s="1"/>
  <c r="J29" i="7" s="1"/>
  <c r="S13" i="3"/>
  <c r="K8" i="7" s="1"/>
  <c r="M8" i="7" s="1"/>
  <c r="T13" i="3"/>
  <c r="L8" i="7" s="1"/>
  <c r="P15" i="3"/>
  <c r="H10" i="7" s="1"/>
  <c r="Q15" i="3"/>
  <c r="I10" i="7" s="1"/>
  <c r="R15" i="3"/>
  <c r="J10" i="7" s="1"/>
  <c r="S15" i="3"/>
  <c r="K10" i="7" s="1"/>
  <c r="T15" i="3"/>
  <c r="L10" i="7" s="1"/>
  <c r="P17" i="3"/>
  <c r="H12" i="7" s="1"/>
  <c r="Q17" i="3"/>
  <c r="I12" i="7" s="1"/>
  <c r="R17" i="3"/>
  <c r="J12" i="7" s="1"/>
  <c r="S17" i="3"/>
  <c r="K12" i="7" s="1"/>
  <c r="T17" i="3"/>
  <c r="L12" i="7" s="1"/>
  <c r="M12" i="7" s="1"/>
  <c r="T9" i="3"/>
  <c r="L4" i="7" s="1"/>
  <c r="L5" i="7" s="1"/>
  <c r="L7" i="7" s="1"/>
  <c r="L9" i="7" s="1"/>
  <c r="L11" i="7" s="1"/>
  <c r="L13" i="7" s="1"/>
  <c r="L15" i="7" s="1"/>
  <c r="S9" i="3"/>
  <c r="K4" i="7" s="1"/>
  <c r="R9" i="3"/>
  <c r="J4" i="7" s="1"/>
  <c r="J5" i="7" s="1"/>
  <c r="J7" i="7" s="1"/>
  <c r="J9" i="7" s="1"/>
  <c r="J11" i="7" s="1"/>
  <c r="J13" i="7" s="1"/>
  <c r="J15" i="7" s="1"/>
  <c r="J17" i="7" s="1"/>
  <c r="J19" i="7" s="1"/>
  <c r="J21" i="7" s="1"/>
  <c r="J23" i="7" s="1"/>
  <c r="J25" i="7" s="1"/>
  <c r="J27" i="7" s="1"/>
  <c r="Q9" i="3"/>
  <c r="I4" i="7" s="1"/>
  <c r="I5" i="7" s="1"/>
  <c r="I7" i="7" s="1"/>
  <c r="I9" i="7" s="1"/>
  <c r="I11" i="7" s="1"/>
  <c r="I13" i="7" s="1"/>
  <c r="I15" i="7" s="1"/>
  <c r="I17" i="7" s="1"/>
  <c r="I19" i="7" s="1"/>
  <c r="I21" i="7" s="1"/>
  <c r="I23" i="7" s="1"/>
  <c r="I25" i="7" s="1"/>
  <c r="I27" i="7" s="1"/>
  <c r="P9" i="3"/>
  <c r="H4" i="7" s="1"/>
  <c r="H29" i="7" s="1"/>
  <c r="O11" i="3"/>
  <c r="G6" i="7" s="1"/>
  <c r="O13" i="3"/>
  <c r="G8" i="7" s="1"/>
  <c r="O15" i="3"/>
  <c r="G10" i="7" s="1"/>
  <c r="O17" i="3"/>
  <c r="G12" i="7" s="1"/>
  <c r="O19" i="3"/>
  <c r="G14" i="7" s="1"/>
  <c r="O21" i="3"/>
  <c r="G16" i="7" s="1"/>
  <c r="O23" i="3"/>
  <c r="G18" i="7" s="1"/>
  <c r="O25" i="3"/>
  <c r="G20" i="7" s="1"/>
  <c r="O27" i="3"/>
  <c r="G22" i="7" s="1"/>
  <c r="O29" i="3"/>
  <c r="G24" i="7" s="1"/>
  <c r="O31" i="3"/>
  <c r="G26" i="7" s="1"/>
  <c r="O33" i="3"/>
  <c r="G28" i="7" s="1"/>
  <c r="O9" i="3"/>
  <c r="G4" i="7" s="1"/>
  <c r="L11" i="3"/>
  <c r="L6" i="6" s="1"/>
  <c r="L13" i="3"/>
  <c r="L8" i="6" s="1"/>
  <c r="M8" i="6" s="1"/>
  <c r="L15" i="3"/>
  <c r="L10" i="6" s="1"/>
  <c r="M10" i="6" s="1"/>
  <c r="L17" i="3"/>
  <c r="L12" i="6" s="1"/>
  <c r="L9" i="3"/>
  <c r="L4" i="6" s="1"/>
  <c r="L5" i="6" s="1"/>
  <c r="L7" i="6" s="1"/>
  <c r="K11" i="3"/>
  <c r="K6" i="6" s="1"/>
  <c r="K13" i="3"/>
  <c r="K8" i="6" s="1"/>
  <c r="K15" i="3"/>
  <c r="K10" i="6" s="1"/>
  <c r="K17" i="3"/>
  <c r="K12" i="6" s="1"/>
  <c r="M12" i="6" s="1"/>
  <c r="K19" i="3"/>
  <c r="K14" i="6" s="1"/>
  <c r="M14" i="6" s="1"/>
  <c r="K21" i="3"/>
  <c r="K16" i="6" s="1"/>
  <c r="M16" i="6" s="1"/>
  <c r="K23" i="3"/>
  <c r="K18" i="6" s="1"/>
  <c r="M18" i="6" s="1"/>
  <c r="K25" i="3"/>
  <c r="K20" i="6" s="1"/>
  <c r="K27" i="3"/>
  <c r="K22" i="6" s="1"/>
  <c r="K29" i="3"/>
  <c r="K24" i="6" s="1"/>
  <c r="K31" i="3"/>
  <c r="K26" i="6" s="1"/>
  <c r="K33" i="3"/>
  <c r="K28" i="6" s="1"/>
  <c r="K9" i="3"/>
  <c r="K4" i="6" s="1"/>
  <c r="K5" i="6" s="1"/>
  <c r="K7" i="6" s="1"/>
  <c r="J11" i="3"/>
  <c r="J6" i="6" s="1"/>
  <c r="J13" i="3"/>
  <c r="J8" i="6" s="1"/>
  <c r="J15" i="3"/>
  <c r="J10" i="6" s="1"/>
  <c r="J17" i="3"/>
  <c r="J12" i="6" s="1"/>
  <c r="J19" i="3"/>
  <c r="J14" i="6" s="1"/>
  <c r="J21" i="3"/>
  <c r="J16" i="6" s="1"/>
  <c r="J23" i="3"/>
  <c r="J18" i="6" s="1"/>
  <c r="J25" i="3"/>
  <c r="J20" i="6" s="1"/>
  <c r="J27" i="3"/>
  <c r="J22" i="6" s="1"/>
  <c r="J29" i="3"/>
  <c r="J24" i="6" s="1"/>
  <c r="J31" i="3"/>
  <c r="J26" i="6" s="1"/>
  <c r="J33" i="3"/>
  <c r="J28" i="6" s="1"/>
  <c r="J9" i="3"/>
  <c r="J4" i="6" s="1"/>
  <c r="J5" i="6" s="1"/>
  <c r="J7" i="6" s="1"/>
  <c r="J9" i="6" s="1"/>
  <c r="J11" i="6" s="1"/>
  <c r="J13" i="6" s="1"/>
  <c r="J15" i="6" s="1"/>
  <c r="J17" i="6" s="1"/>
  <c r="J19" i="6" s="1"/>
  <c r="J21" i="6" s="1"/>
  <c r="J23" i="6" s="1"/>
  <c r="J25" i="6" s="1"/>
  <c r="J27" i="6" s="1"/>
  <c r="I11" i="3"/>
  <c r="I6" i="6" s="1"/>
  <c r="I13" i="3"/>
  <c r="I8" i="6" s="1"/>
  <c r="I15" i="3"/>
  <c r="I10" i="6" s="1"/>
  <c r="I17" i="3"/>
  <c r="I12" i="6" s="1"/>
  <c r="I19" i="3"/>
  <c r="I14" i="6" s="1"/>
  <c r="I21" i="3"/>
  <c r="I16" i="6" s="1"/>
  <c r="I23" i="3"/>
  <c r="I18" i="6" s="1"/>
  <c r="I25" i="3"/>
  <c r="I20" i="6" s="1"/>
  <c r="I27" i="3"/>
  <c r="I22" i="6" s="1"/>
  <c r="I29" i="3"/>
  <c r="I24" i="6" s="1"/>
  <c r="I31" i="3"/>
  <c r="I26" i="6" s="1"/>
  <c r="I33" i="3"/>
  <c r="I28" i="6" s="1"/>
  <c r="I9" i="3"/>
  <c r="I4" i="6" s="1"/>
  <c r="I5" i="6" s="1"/>
  <c r="I7" i="6" s="1"/>
  <c r="H11" i="3"/>
  <c r="H6" i="6" s="1"/>
  <c r="H13" i="3"/>
  <c r="H8" i="6" s="1"/>
  <c r="H15" i="3"/>
  <c r="H10" i="6" s="1"/>
  <c r="H17" i="3"/>
  <c r="H12" i="6" s="1"/>
  <c r="H19" i="3"/>
  <c r="H14" i="6" s="1"/>
  <c r="H21" i="3"/>
  <c r="H16" i="6" s="1"/>
  <c r="H23" i="3"/>
  <c r="H18" i="6" s="1"/>
  <c r="H25" i="3"/>
  <c r="H20" i="6" s="1"/>
  <c r="H27" i="3"/>
  <c r="H22" i="6" s="1"/>
  <c r="H29" i="3"/>
  <c r="H24" i="6" s="1"/>
  <c r="H31" i="3"/>
  <c r="H26" i="6" s="1"/>
  <c r="H33" i="3"/>
  <c r="H28" i="6" s="1"/>
  <c r="H9" i="3"/>
  <c r="H4" i="6" s="1"/>
  <c r="H5" i="6" s="1"/>
  <c r="H7" i="6" s="1"/>
  <c r="G11" i="3"/>
  <c r="G6" i="6" s="1"/>
  <c r="G13" i="3"/>
  <c r="G8" i="6" s="1"/>
  <c r="G15" i="3"/>
  <c r="G10" i="6" s="1"/>
  <c r="G17" i="3"/>
  <c r="G12" i="6" s="1"/>
  <c r="G19" i="3"/>
  <c r="G14" i="6" s="1"/>
  <c r="G21" i="3"/>
  <c r="G16" i="6" s="1"/>
  <c r="G23" i="3"/>
  <c r="G18" i="6" s="1"/>
  <c r="G25" i="3"/>
  <c r="G20" i="6" s="1"/>
  <c r="G27" i="3"/>
  <c r="G22" i="6" s="1"/>
  <c r="G29" i="3"/>
  <c r="G24" i="6" s="1"/>
  <c r="G31" i="3"/>
  <c r="G26" i="6" s="1"/>
  <c r="G33" i="3"/>
  <c r="G28" i="6" s="1"/>
  <c r="G9" i="3"/>
  <c r="G4" i="6" s="1"/>
  <c r="G5" i="6" s="1"/>
  <c r="G7" i="6" s="1"/>
  <c r="L41" i="3"/>
  <c r="L6" i="8" s="1"/>
  <c r="L43" i="3"/>
  <c r="L8" i="8" s="1"/>
  <c r="L45" i="3"/>
  <c r="L10" i="8" s="1"/>
  <c r="L47" i="3"/>
  <c r="L12" i="8" s="1"/>
  <c r="L39" i="3"/>
  <c r="L4" i="8" s="1"/>
  <c r="K41" i="3"/>
  <c r="K6" i="8" s="1"/>
  <c r="K43" i="3"/>
  <c r="K8" i="8" s="1"/>
  <c r="K25" i="8" s="1"/>
  <c r="K45" i="3"/>
  <c r="K10" i="8" s="1"/>
  <c r="K23" i="8" s="1"/>
  <c r="K47" i="3"/>
  <c r="K12" i="8" s="1"/>
  <c r="K21" i="8" s="1"/>
  <c r="K49" i="3"/>
  <c r="K14" i="8" s="1"/>
  <c r="M14" i="8" s="1"/>
  <c r="K51" i="3"/>
  <c r="K16" i="8" s="1"/>
  <c r="M16" i="8" s="1"/>
  <c r="K53" i="3"/>
  <c r="K18" i="8" s="1"/>
  <c r="M18" i="8" s="1"/>
  <c r="K55" i="3"/>
  <c r="K20" i="8" s="1"/>
  <c r="K57" i="3"/>
  <c r="K22" i="8" s="1"/>
  <c r="K59" i="3"/>
  <c r="K24" i="8" s="1"/>
  <c r="K61" i="3"/>
  <c r="K26" i="8" s="1"/>
  <c r="K63" i="3"/>
  <c r="K28" i="8" s="1"/>
  <c r="K39" i="3"/>
  <c r="K4" i="8" s="1"/>
  <c r="K27" i="8" s="1"/>
  <c r="J41" i="3"/>
  <c r="J6" i="8" s="1"/>
  <c r="J43" i="3"/>
  <c r="J8" i="8" s="1"/>
  <c r="J21" i="8" s="1"/>
  <c r="J45" i="3"/>
  <c r="J10" i="8" s="1"/>
  <c r="J27" i="8" s="1"/>
  <c r="J47" i="3"/>
  <c r="J12" i="8" s="1"/>
  <c r="J49" i="3"/>
  <c r="J14" i="8" s="1"/>
  <c r="J51" i="3"/>
  <c r="J16" i="8" s="1"/>
  <c r="J53" i="3"/>
  <c r="J18" i="8" s="1"/>
  <c r="J55" i="3"/>
  <c r="J20" i="8" s="1"/>
  <c r="J57" i="3"/>
  <c r="J22" i="8" s="1"/>
  <c r="J59" i="3"/>
  <c r="J24" i="8" s="1"/>
  <c r="J61" i="3"/>
  <c r="J26" i="8" s="1"/>
  <c r="J63" i="3"/>
  <c r="J28" i="8" s="1"/>
  <c r="J39" i="3"/>
  <c r="J4" i="8" s="1"/>
  <c r="J25" i="8" s="1"/>
  <c r="I41" i="3"/>
  <c r="I6" i="8" s="1"/>
  <c r="I43" i="3"/>
  <c r="I8" i="8" s="1"/>
  <c r="I11" i="8" s="1"/>
  <c r="I45" i="3"/>
  <c r="I10" i="8" s="1"/>
  <c r="I47" i="3"/>
  <c r="I12" i="8" s="1"/>
  <c r="I49" i="3"/>
  <c r="I14" i="8" s="1"/>
  <c r="I51" i="3"/>
  <c r="I16" i="8" s="1"/>
  <c r="I53" i="3"/>
  <c r="I18" i="8" s="1"/>
  <c r="I55" i="3"/>
  <c r="I20" i="8" s="1"/>
  <c r="I57" i="3"/>
  <c r="I22" i="8" s="1"/>
  <c r="I59" i="3"/>
  <c r="I24" i="8" s="1"/>
  <c r="I61" i="3"/>
  <c r="I26" i="8" s="1"/>
  <c r="I63" i="3"/>
  <c r="I28" i="8" s="1"/>
  <c r="I39" i="3"/>
  <c r="I4" i="8" s="1"/>
  <c r="I23" i="8" s="1"/>
  <c r="H41" i="3"/>
  <c r="H6" i="8" s="1"/>
  <c r="H43" i="3"/>
  <c r="H8" i="8" s="1"/>
  <c r="H45" i="3"/>
  <c r="H10" i="8" s="1"/>
  <c r="H47" i="3"/>
  <c r="H12" i="8" s="1"/>
  <c r="H49" i="3"/>
  <c r="H14" i="8" s="1"/>
  <c r="H51" i="3"/>
  <c r="H16" i="8" s="1"/>
  <c r="H53" i="3"/>
  <c r="H18" i="8" s="1"/>
  <c r="H55" i="3"/>
  <c r="H20" i="8" s="1"/>
  <c r="H57" i="3"/>
  <c r="H22" i="8" s="1"/>
  <c r="H59" i="3"/>
  <c r="H24" i="8" s="1"/>
  <c r="H61" i="3"/>
  <c r="H26" i="8" s="1"/>
  <c r="H63" i="3"/>
  <c r="H28" i="8" s="1"/>
  <c r="H39" i="3"/>
  <c r="H4" i="8" s="1"/>
  <c r="H21" i="8" s="1"/>
  <c r="G41" i="3"/>
  <c r="G6" i="8" s="1"/>
  <c r="G43" i="3"/>
  <c r="G8" i="8" s="1"/>
  <c r="G25" i="8" s="1"/>
  <c r="G45" i="3"/>
  <c r="G10" i="8" s="1"/>
  <c r="G23" i="8" s="1"/>
  <c r="G47" i="3"/>
  <c r="G12" i="8" s="1"/>
  <c r="G21" i="8" s="1"/>
  <c r="G49" i="3"/>
  <c r="G14" i="8" s="1"/>
  <c r="G51" i="3"/>
  <c r="G16" i="8" s="1"/>
  <c r="G53" i="3"/>
  <c r="G18" i="8" s="1"/>
  <c r="G55" i="3"/>
  <c r="G20" i="8" s="1"/>
  <c r="G57" i="3"/>
  <c r="G22" i="8" s="1"/>
  <c r="G59" i="3"/>
  <c r="G24" i="8" s="1"/>
  <c r="G61" i="3"/>
  <c r="G26" i="8" s="1"/>
  <c r="G63" i="3"/>
  <c r="G28" i="8" s="1"/>
  <c r="G39" i="3"/>
  <c r="G4" i="8" s="1"/>
  <c r="G27" i="8" s="1"/>
  <c r="C29" i="6"/>
  <c r="C30" i="6" s="1"/>
  <c r="D29" i="6"/>
  <c r="E29" i="6"/>
  <c r="F29" i="6"/>
  <c r="D5" i="6"/>
  <c r="D7" i="6" s="1"/>
  <c r="D9" i="6" s="1"/>
  <c r="D11" i="6" s="1"/>
  <c r="D13" i="6" s="1"/>
  <c r="D15" i="6" s="1"/>
  <c r="D17" i="6" s="1"/>
  <c r="D19" i="6" s="1"/>
  <c r="D21" i="6" s="1"/>
  <c r="D23" i="6" s="1"/>
  <c r="D25" i="6" s="1"/>
  <c r="D27" i="6" s="1"/>
  <c r="E5" i="6"/>
  <c r="E7" i="6" s="1"/>
  <c r="E9" i="6" s="1"/>
  <c r="E11" i="6" s="1"/>
  <c r="E13" i="6" s="1"/>
  <c r="E15" i="6" s="1"/>
  <c r="E17" i="6" s="1"/>
  <c r="E19" i="6" s="1"/>
  <c r="E21" i="6" s="1"/>
  <c r="E23" i="6" s="1"/>
  <c r="E25" i="6" s="1"/>
  <c r="E27" i="6" s="1"/>
  <c r="F5" i="6"/>
  <c r="F7" i="6" s="1"/>
  <c r="F9" i="6" s="1"/>
  <c r="F11" i="6" s="1"/>
  <c r="F13" i="6" s="1"/>
  <c r="F15" i="6" s="1"/>
  <c r="F17" i="6" s="1"/>
  <c r="F19" i="6" s="1"/>
  <c r="F21" i="6" s="1"/>
  <c r="F23" i="6" s="1"/>
  <c r="F25" i="6" s="1"/>
  <c r="F27" i="6" s="1"/>
  <c r="D34" i="4"/>
  <c r="C34" i="4"/>
  <c r="L19" i="8" l="1"/>
  <c r="L17" i="8"/>
  <c r="L15" i="8"/>
  <c r="K29" i="8"/>
  <c r="G13" i="8"/>
  <c r="I17" i="8"/>
  <c r="I25" i="8"/>
  <c r="G9" i="6"/>
  <c r="G11" i="6" s="1"/>
  <c r="G13" i="6" s="1"/>
  <c r="G15" i="6" s="1"/>
  <c r="G17" i="6" s="1"/>
  <c r="G19" i="6" s="1"/>
  <c r="G21" i="6" s="1"/>
  <c r="G23" i="6" s="1"/>
  <c r="G25" i="6" s="1"/>
  <c r="G27" i="6" s="1"/>
  <c r="K9" i="6"/>
  <c r="K11" i="6" s="1"/>
  <c r="K13" i="6" s="1"/>
  <c r="K15" i="6" s="1"/>
  <c r="K17" i="6" s="1"/>
  <c r="K19" i="6" s="1"/>
  <c r="K21" i="6" s="1"/>
  <c r="K23" i="6" s="1"/>
  <c r="K25" i="6" s="1"/>
  <c r="K27" i="6" s="1"/>
  <c r="M4" i="6"/>
  <c r="K7" i="7"/>
  <c r="K9" i="7" s="1"/>
  <c r="K11" i="7" s="1"/>
  <c r="K13" i="7" s="1"/>
  <c r="K15" i="7" s="1"/>
  <c r="K17" i="7" s="1"/>
  <c r="K19" i="7" s="1"/>
  <c r="K21" i="7" s="1"/>
  <c r="K23" i="7" s="1"/>
  <c r="K25" i="7" s="1"/>
  <c r="K27" i="7" s="1"/>
  <c r="L29" i="7"/>
  <c r="H5" i="7"/>
  <c r="H7" i="7" s="1"/>
  <c r="H9" i="7" s="1"/>
  <c r="H11" i="7" s="1"/>
  <c r="H13" i="7" s="1"/>
  <c r="H15" i="7" s="1"/>
  <c r="H17" i="7" s="1"/>
  <c r="H19" i="7" s="1"/>
  <c r="H21" i="7" s="1"/>
  <c r="H23" i="7" s="1"/>
  <c r="H25" i="7" s="1"/>
  <c r="H27" i="7" s="1"/>
  <c r="M12" i="8"/>
  <c r="K13" i="8"/>
  <c r="H15" i="8"/>
  <c r="J19" i="8"/>
  <c r="H23" i="8"/>
  <c r="G11" i="7"/>
  <c r="G13" i="7" s="1"/>
  <c r="G15" i="7" s="1"/>
  <c r="G17" i="7" s="1"/>
  <c r="G19" i="7" s="1"/>
  <c r="G21" i="7" s="1"/>
  <c r="G23" i="7" s="1"/>
  <c r="G25" i="7" s="1"/>
  <c r="G27" i="7" s="1"/>
  <c r="J29" i="8"/>
  <c r="I29" i="8"/>
  <c r="L7" i="8"/>
  <c r="M7" i="8" s="1"/>
  <c r="H7" i="8"/>
  <c r="J9" i="8"/>
  <c r="L11" i="8"/>
  <c r="H11" i="8"/>
  <c r="J13" i="8"/>
  <c r="K15" i="8"/>
  <c r="G15" i="8"/>
  <c r="H17" i="8"/>
  <c r="I19" i="8"/>
  <c r="H25" i="8"/>
  <c r="I27" i="8"/>
  <c r="H9" i="6"/>
  <c r="H11" i="6" s="1"/>
  <c r="H13" i="6" s="1"/>
  <c r="H15" i="6" s="1"/>
  <c r="H17" i="6" s="1"/>
  <c r="H19" i="6" s="1"/>
  <c r="H21" i="6" s="1"/>
  <c r="H23" i="6" s="1"/>
  <c r="H25" i="6" s="1"/>
  <c r="H27" i="6" s="1"/>
  <c r="L9" i="6"/>
  <c r="L11" i="6" s="1"/>
  <c r="L13" i="6" s="1"/>
  <c r="L15" i="6" s="1"/>
  <c r="G29" i="8"/>
  <c r="H29" i="8"/>
  <c r="I5" i="8"/>
  <c r="I9" i="8"/>
  <c r="K11" i="8"/>
  <c r="G11" i="8"/>
  <c r="I13" i="8"/>
  <c r="J15" i="8"/>
  <c r="K17" i="8"/>
  <c r="G17" i="8"/>
  <c r="H19" i="8"/>
  <c r="I21" i="8"/>
  <c r="J23" i="8"/>
  <c r="H27" i="8"/>
  <c r="I9" i="6"/>
  <c r="I11" i="6" s="1"/>
  <c r="I13" i="6" s="1"/>
  <c r="I15" i="6" s="1"/>
  <c r="I17" i="6" s="1"/>
  <c r="I19" i="6" s="1"/>
  <c r="I21" i="6" s="1"/>
  <c r="I23" i="6" s="1"/>
  <c r="I25" i="6" s="1"/>
  <c r="I27" i="6" s="1"/>
  <c r="L5" i="8"/>
  <c r="H5" i="8"/>
  <c r="J7" i="8"/>
  <c r="L9" i="8"/>
  <c r="H9" i="8"/>
  <c r="J11" i="8"/>
  <c r="L13" i="8"/>
  <c r="H13" i="8"/>
  <c r="I15" i="8"/>
  <c r="J17" i="8"/>
  <c r="K19" i="8"/>
  <c r="G19" i="8"/>
  <c r="M5" i="8"/>
  <c r="F30" i="8"/>
  <c r="L17" i="7"/>
  <c r="E30" i="6"/>
  <c r="L64" i="3"/>
  <c r="J64" i="3"/>
  <c r="H64" i="3"/>
  <c r="P34" i="3"/>
  <c r="T34" i="3"/>
  <c r="I64" i="3"/>
  <c r="G64" i="3"/>
  <c r="K64" i="3"/>
  <c r="I34" i="3"/>
  <c r="J34" i="3"/>
  <c r="O34" i="3"/>
  <c r="S34" i="3"/>
  <c r="R34" i="3"/>
  <c r="Q34" i="3"/>
  <c r="H34" i="3"/>
  <c r="L34" i="3"/>
  <c r="L30" i="8"/>
  <c r="D30" i="6"/>
  <c r="F30" i="6"/>
  <c r="K30" i="8"/>
  <c r="I30" i="8"/>
  <c r="J30" i="8"/>
  <c r="H30" i="8"/>
  <c r="M11" i="8"/>
  <c r="M4" i="8"/>
  <c r="M6" i="8"/>
  <c r="M9" i="8"/>
  <c r="E30" i="8"/>
  <c r="D30" i="8"/>
  <c r="G30" i="8"/>
  <c r="M9" i="7"/>
  <c r="I29" i="7"/>
  <c r="J30" i="7" s="1"/>
  <c r="K29" i="7"/>
  <c r="K30" i="7" s="1"/>
  <c r="M4" i="7"/>
  <c r="M5" i="7"/>
  <c r="G29" i="7"/>
  <c r="H30" i="7" s="1"/>
  <c r="E30" i="7"/>
  <c r="D30" i="7"/>
  <c r="J29" i="6"/>
  <c r="K34" i="3"/>
  <c r="G34" i="3"/>
  <c r="I29" i="6"/>
  <c r="K29" i="6"/>
  <c r="G29" i="6"/>
  <c r="G30" i="6" s="1"/>
  <c r="L29" i="6"/>
  <c r="M11" i="7"/>
  <c r="L17" i="6" l="1"/>
  <c r="M15" i="6"/>
  <c r="M7" i="7"/>
  <c r="M17" i="7"/>
  <c r="L19" i="7"/>
  <c r="M19" i="7" s="1"/>
  <c r="M15" i="7"/>
  <c r="M19" i="8"/>
  <c r="M17" i="8"/>
  <c r="M15" i="8"/>
  <c r="G30" i="7"/>
  <c r="J30" i="6"/>
  <c r="K30" i="6"/>
  <c r="M13" i="8"/>
  <c r="I30" i="7"/>
  <c r="F30" i="7"/>
  <c r="M5" i="6"/>
  <c r="H29" i="6"/>
  <c r="H30" i="6" s="1"/>
  <c r="M13" i="7"/>
  <c r="L19" i="6" l="1"/>
  <c r="M19" i="6" s="1"/>
  <c r="M17" i="6"/>
  <c r="I30" i="6"/>
  <c r="M7" i="6" l="1"/>
  <c r="M9" i="6" l="1"/>
  <c r="M11" i="6" l="1"/>
  <c r="M13" i="6"/>
</calcChain>
</file>

<file path=xl/sharedStrings.xml><?xml version="1.0" encoding="utf-8"?>
<sst xmlns="http://schemas.openxmlformats.org/spreadsheetml/2006/main" count="426" uniqueCount="174">
  <si>
    <t>Time</t>
  </si>
  <si>
    <t>Product</t>
  </si>
  <si>
    <t>Dollar Sales</t>
  </si>
  <si>
    <t>Volume Sales</t>
  </si>
  <si>
    <t>Price per Volume</t>
  </si>
  <si>
    <t>4 Weeks Ending 05-16-21</t>
  </si>
  <si>
    <t>4 Weeks Ending 04-18-21</t>
  </si>
  <si>
    <t>4 Weeks Ending 03-21-21</t>
  </si>
  <si>
    <t>4 Weeks Ending 02-21-21</t>
  </si>
  <si>
    <t>4 Weeks Ending 01-24-21</t>
  </si>
  <si>
    <t>4 Weeks Ending 12-27-20</t>
  </si>
  <si>
    <t>4 Weeks Ending 11-29-20</t>
  </si>
  <si>
    <t>4 Weeks Ending 11-01-20</t>
  </si>
  <si>
    <t>4 Weeks Ending 10-04-20</t>
  </si>
  <si>
    <t>4 Weeks Ending 09-06-20</t>
  </si>
  <si>
    <t>4 Weeks Ending 08-09-20</t>
  </si>
  <si>
    <t>4 Weeks Ending 07-12-20</t>
  </si>
  <si>
    <t>4 Weeks Ending 06-14-20</t>
  </si>
  <si>
    <t>4 Weeks Ending 05-17-20</t>
  </si>
  <si>
    <t>4 Weeks Ending 04-19-20</t>
  </si>
  <si>
    <t>4 Weeks Ending 03-22-20</t>
  </si>
  <si>
    <t>4 Weeks Ending 02-23-20</t>
  </si>
  <si>
    <t>4 Weeks Ending 01-26-20</t>
  </si>
  <si>
    <t>4 Weeks Ending 12-29-19</t>
  </si>
  <si>
    <t>4 Weeks Ending 12-01-19</t>
  </si>
  <si>
    <t>4 Weeks Ending 11-03-19</t>
  </si>
  <si>
    <t>4 Weeks Ending 10-06-19</t>
  </si>
  <si>
    <t>4 Weeks Ending 09-08-19</t>
  </si>
  <si>
    <t>4 Weeks Ending 08-11-19</t>
  </si>
  <si>
    <t>4 Weeks Ending 07-14-19</t>
  </si>
  <si>
    <t>4 Weeks Ending 06-16-19</t>
  </si>
  <si>
    <t>4 Weeks Ending 05-19-19</t>
  </si>
  <si>
    <t>4 Weeks Ending 04-21-19</t>
  </si>
  <si>
    <t>4 Weeks Ending 03-24-19</t>
  </si>
  <si>
    <t>4 Weeks Ending 02-24-19</t>
  </si>
  <si>
    <t>4 Weeks Ending 01-27-19</t>
  </si>
  <si>
    <t>4 Weeks Ending 12-30-18</t>
  </si>
  <si>
    <t>4 Weeks Ending 12-02-18</t>
  </si>
  <si>
    <t>4 Weeks Ending 11-04-18</t>
  </si>
  <si>
    <t>4 Weeks Ending 10-07-18</t>
  </si>
  <si>
    <t>4 Weeks Ending 09-09-18</t>
  </si>
  <si>
    <t>4 Weeks Ending 08-12-18</t>
  </si>
  <si>
    <t>4 Weeks Ending 07-15-18</t>
  </si>
  <si>
    <t>4 Weeks Ending 06-17-18</t>
  </si>
  <si>
    <t>4 Weeks Ending 05-20-18</t>
  </si>
  <si>
    <t>4 Weeks Ending 04-22-18</t>
  </si>
  <si>
    <t>4 Weeks Ending 03-25-18</t>
  </si>
  <si>
    <t>4 Weeks Ending 02-25-18</t>
  </si>
  <si>
    <t>4 Weeks Ending 01-28-18</t>
  </si>
  <si>
    <t>4 Weeks Ending 12-31-17</t>
  </si>
  <si>
    <t>4 Weeks Ending 12-03-17</t>
  </si>
  <si>
    <t>4 Weeks Ending 11-05-17</t>
  </si>
  <si>
    <t>4 Weeks Ending 10-08-17</t>
  </si>
  <si>
    <t>4 Weeks Ending 09-10-17</t>
  </si>
  <si>
    <t>4 Weeks Ending 08-13-17</t>
  </si>
  <si>
    <t>4 Weeks Ending 07-16-17</t>
  </si>
  <si>
    <t>4 Weeks Ending 06-18-17</t>
  </si>
  <si>
    <t>4 Weeks Ending 05-21-17</t>
  </si>
  <si>
    <t>4 Weeks Ending 04-23-17</t>
  </si>
  <si>
    <t>4 Weeks Ending 03-26-17</t>
  </si>
  <si>
    <t>4 Weeks Ending 02-26-17</t>
  </si>
  <si>
    <t>4 Weeks Ending 01-29-17</t>
  </si>
  <si>
    <t>4 Weeks Ending 01-01-17</t>
  </si>
  <si>
    <t>4 Weeks Ending 12-04-16</t>
  </si>
  <si>
    <t>4 Weeks Ending 11-06-16</t>
  </si>
  <si>
    <t>4 Weeks Ending 10-09-16</t>
  </si>
  <si>
    <t>4 Weeks Ending 09-11-16</t>
  </si>
  <si>
    <t>4 Weeks Ending 08-14-16</t>
  </si>
  <si>
    <t>4 Weeks Ending 07-17-16</t>
  </si>
  <si>
    <t>4 Weeks Ending 06-19-16</t>
  </si>
  <si>
    <t>4 Weeks Ending 05-22-16</t>
  </si>
  <si>
    <t>4 Weeks Ending 04-24-16</t>
  </si>
  <si>
    <t>4 Weeks Ending 03-27-16</t>
  </si>
  <si>
    <t>4 Weeks Ending 02-28-16</t>
  </si>
  <si>
    <t>4 Weeks Ending 01-31-16</t>
  </si>
  <si>
    <t>*Data taken from MC - Ad Hoc - Long Term Sales Tracker (2013-2018)</t>
  </si>
  <si>
    <t>*Microstrategy Data</t>
  </si>
  <si>
    <t>From Box: MC &gt; Ad Hoc - All Years &gt; MC - Ad Hoc 2015</t>
  </si>
  <si>
    <t>Source File</t>
  </si>
  <si>
    <t>Mushroom Council</t>
  </si>
  <si>
    <t>FRESH MUSHROOMS ($M)</t>
  </si>
  <si>
    <t>Cumulative</t>
  </si>
  <si>
    <t>TOTAL:</t>
  </si>
  <si>
    <t>YTD</t>
  </si>
  <si>
    <t>FRESH MUSHROOMS (Price/Lb)</t>
  </si>
  <si>
    <t>Average</t>
  </si>
  <si>
    <t>Period 1</t>
  </si>
  <si>
    <t>Period 2</t>
  </si>
  <si>
    <t>Period 3</t>
  </si>
  <si>
    <t>Period 4</t>
  </si>
  <si>
    <t>Period 5</t>
  </si>
  <si>
    <t>Period 6</t>
  </si>
  <si>
    <t>Period 7</t>
  </si>
  <si>
    <t>Period 8</t>
  </si>
  <si>
    <t>Period 9</t>
  </si>
  <si>
    <t>Period 10</t>
  </si>
  <si>
    <t>Period 11</t>
  </si>
  <si>
    <t>Period 12</t>
  </si>
  <si>
    <t>Period 13</t>
  </si>
  <si>
    <t>Retail Dollar Sales (millions)</t>
  </si>
  <si>
    <t>Source: IRI/Freshlook 2013 - 2018</t>
  </si>
  <si>
    <t>2013</t>
  </si>
  <si>
    <t>2014</t>
  </si>
  <si>
    <t>2015</t>
  </si>
  <si>
    <t>Price per Lb</t>
  </si>
  <si>
    <t>Total</t>
  </si>
  <si>
    <t>Retail Volume Sales (millions of lbs)</t>
  </si>
  <si>
    <t>Retail Price per Lb</t>
  </si>
  <si>
    <t>YOY Chg</t>
  </si>
  <si>
    <t>*Data taken from MC - Topline 2012 Files</t>
  </si>
  <si>
    <t>From Box: MC &gt; Monthly Tracker - All Years &gt; 2012 Reports (by weekending/periods)</t>
  </si>
  <si>
    <t>2012 01 29</t>
  </si>
  <si>
    <t>Period 1 2011</t>
  </si>
  <si>
    <t>MUSHROOMS - TOTAL U.S.</t>
  </si>
  <si>
    <t>Period 2 2011</t>
  </si>
  <si>
    <t>Period 3 2011</t>
  </si>
  <si>
    <t>Period 4 2011</t>
  </si>
  <si>
    <t>Period 5 2011</t>
  </si>
  <si>
    <t>Period 6 2011</t>
  </si>
  <si>
    <t>Period 7 2011</t>
  </si>
  <si>
    <t>Period 8 2011</t>
  </si>
  <si>
    <t>Period 9 2011</t>
  </si>
  <si>
    <t>Period 10 2011</t>
  </si>
  <si>
    <t>Period 11 2011</t>
  </si>
  <si>
    <t>Period 12 2011</t>
  </si>
  <si>
    <t>Period 13 2011</t>
  </si>
  <si>
    <t>2012 02 26</t>
  </si>
  <si>
    <t>% Chg YA</t>
  </si>
  <si>
    <t>2012 03 25</t>
  </si>
  <si>
    <t>2012 04 22</t>
  </si>
  <si>
    <t>Period 1 2012</t>
  </si>
  <si>
    <t>Period 2 2012</t>
  </si>
  <si>
    <t>Period 3 2012</t>
  </si>
  <si>
    <t>Period 4 2012</t>
  </si>
  <si>
    <t>Period 5 2012</t>
  </si>
  <si>
    <t>Period 6 2012</t>
  </si>
  <si>
    <t>Period 7 2012</t>
  </si>
  <si>
    <t>Period 8 2012</t>
  </si>
  <si>
    <t>Period 9 2012</t>
  </si>
  <si>
    <t>Period 10 2012</t>
  </si>
  <si>
    <t>Period 11 2012</t>
  </si>
  <si>
    <t>Period 12 2012</t>
  </si>
  <si>
    <t>Period 13 2012</t>
  </si>
  <si>
    <t>2012 05 20</t>
  </si>
  <si>
    <t>2012 06 17</t>
  </si>
  <si>
    <t>2012 07 15</t>
  </si>
  <si>
    <t>2012 08 12</t>
  </si>
  <si>
    <t>2012 09 09</t>
  </si>
  <si>
    <t>2012 10 07</t>
  </si>
  <si>
    <t>2012 11 04</t>
  </si>
  <si>
    <t>2012 12 02</t>
  </si>
  <si>
    <t>2012 12 30</t>
  </si>
  <si>
    <t>*Data taken from MC - Topline 2012 Files (Calculated using 2012 YA)</t>
  </si>
  <si>
    <t>2011 01 30</t>
  </si>
  <si>
    <t>2011 02 27</t>
  </si>
  <si>
    <t>2011 03 27</t>
  </si>
  <si>
    <t>2011 04 24</t>
  </si>
  <si>
    <t>2011 05 22</t>
  </si>
  <si>
    <t>2011 06 19</t>
  </si>
  <si>
    <t>2011 07 17</t>
  </si>
  <si>
    <t>2011 08 14</t>
  </si>
  <si>
    <t>2011 09 11</t>
  </si>
  <si>
    <t>2011 10 09</t>
  </si>
  <si>
    <t>2011 11 06</t>
  </si>
  <si>
    <t>2011 12 04</t>
  </si>
  <si>
    <t>2012 01 01</t>
  </si>
  <si>
    <t>* 2016 - 2021  IRI Data MULO</t>
  </si>
  <si>
    <t>* 2013 - 2015 IRI/Freshlook Data MULO</t>
  </si>
  <si>
    <t>* 2011 - 2012 Grocery Only</t>
  </si>
  <si>
    <t>FRESH MUSHROOMS (Lbs in Millions)</t>
  </si>
  <si>
    <t>4 Weeks Ending 06-13-21</t>
  </si>
  <si>
    <t>4 Weeks Ending 07-11-21</t>
  </si>
  <si>
    <t>4 Weeks Ending 08-08-21</t>
  </si>
  <si>
    <t>4 Weeks Ending 09-05-21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</si>
</sst>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&quot;$&quot;#,##0.00_);\(&quot;$&quot;#,##0.00\)"/>
    <numFmt numFmtId="43" formatCode="_(* #,##0.00_);_(* \(#,##0.00\);_(* &quot;-&quot;??_);_(@_)"/>
    <numFmt numFmtId="164" formatCode="&quot;$&quot;#,##0"/>
    <numFmt numFmtId="165" formatCode="&quot;$&quot;#,##0.00"/>
    <numFmt numFmtId="166" formatCode="\$#,##0.00;\-\$#,##0.00"/>
    <numFmt numFmtId="167" formatCode="\$#,##0"/>
    <numFmt numFmtId="168" formatCode="[$-409]mmm\-yy;@"/>
    <numFmt numFmtId="169" formatCode="\+0.0%;\(0.0%\)"/>
    <numFmt numFmtId="170" formatCode="\$#,##0.00"/>
    <numFmt numFmtId="171" formatCode="0.0%"/>
    <numFmt numFmtId="172" formatCode="\+0.0%;\-0.0%"/>
    <numFmt numFmtId="173" formatCode="\+0.0000%;\-0.000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i/>
      <sz val="11"/>
      <color rgb="FFFF0000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9.5"/>
      <name val="Arial Narrow"/>
      <family val="2"/>
    </font>
    <font>
      <sz val="9.5"/>
      <name val="Arial Narrow"/>
      <family val="2"/>
    </font>
    <font>
      <b/>
      <i/>
      <sz val="9.5"/>
      <name val="Arial Narrow"/>
      <family val="2"/>
    </font>
    <font>
      <b/>
      <sz val="9.5"/>
      <color indexed="8"/>
      <name val="Arial Narrow"/>
      <family val="2"/>
    </font>
    <font>
      <sz val="8"/>
      <name val="Arial Narrow"/>
      <family val="2"/>
    </font>
    <font>
      <b/>
      <sz val="14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8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164" fontId="0" fillId="0" borderId="0" xfId="0" applyNumberFormat="1"/>
    <xf numFmtId="3" fontId="0" fillId="0" borderId="0" xfId="0" applyNumberFormat="1"/>
    <xf numFmtId="165" fontId="0" fillId="0" borderId="0" xfId="0" applyNumberFormat="1"/>
    <xf numFmtId="0" fontId="3" fillId="0" borderId="0" xfId="2"/>
    <xf numFmtId="166" fontId="3" fillId="0" borderId="1" xfId="2" applyNumberFormat="1" applyBorder="1"/>
    <xf numFmtId="3" fontId="3" fillId="0" borderId="1" xfId="2" applyNumberFormat="1" applyBorder="1"/>
    <xf numFmtId="167" fontId="3" fillId="0" borderId="1" xfId="2" applyNumberFormat="1" applyBorder="1"/>
    <xf numFmtId="0" fontId="3" fillId="0" borderId="1" xfId="2" applyBorder="1"/>
    <xf numFmtId="0" fontId="3" fillId="0" borderId="2" xfId="2" applyBorder="1" applyAlignment="1">
      <alignment horizontal="center" vertical="center" wrapText="1"/>
    </xf>
    <xf numFmtId="0" fontId="3" fillId="2" borderId="0" xfId="2" applyFill="1"/>
    <xf numFmtId="0" fontId="4" fillId="2" borderId="0" xfId="2" applyFont="1" applyFill="1"/>
    <xf numFmtId="0" fontId="0" fillId="0" borderId="0" xfId="0" applyFill="1"/>
    <xf numFmtId="0" fontId="4" fillId="0" borderId="0" xfId="2" applyFont="1" applyFill="1"/>
    <xf numFmtId="164" fontId="0" fillId="0" borderId="0" xfId="0" applyNumberFormat="1" applyFill="1"/>
    <xf numFmtId="3" fontId="0" fillId="0" borderId="0" xfId="0" applyNumberFormat="1" applyFill="1"/>
    <xf numFmtId="165" fontId="0" fillId="0" borderId="0" xfId="0" applyNumberFormat="1" applyFill="1"/>
    <xf numFmtId="0" fontId="0" fillId="2" borderId="0" xfId="0" applyFill="1"/>
    <xf numFmtId="164" fontId="0" fillId="2" borderId="0" xfId="0" applyNumberFormat="1" applyFill="1"/>
    <xf numFmtId="168" fontId="3" fillId="0" borderId="0" xfId="3"/>
    <xf numFmtId="168" fontId="7" fillId="0" borderId="6" xfId="3" applyFont="1" applyBorder="1" applyAlignment="1">
      <alignment horizontal="right"/>
    </xf>
    <xf numFmtId="0" fontId="8" fillId="0" borderId="7" xfId="3" applyNumberFormat="1" applyFont="1" applyBorder="1" applyAlignment="1">
      <alignment horizontal="center"/>
    </xf>
    <xf numFmtId="168" fontId="7" fillId="0" borderId="0" xfId="3" applyFont="1" applyAlignment="1">
      <alignment horizontal="center"/>
    </xf>
    <xf numFmtId="168" fontId="9" fillId="0" borderId="8" xfId="3" applyFont="1" applyBorder="1" applyAlignment="1">
      <alignment horizontal="right"/>
    </xf>
    <xf numFmtId="165" fontId="9" fillId="0" borderId="9" xfId="3" applyNumberFormat="1" applyFont="1" applyBorder="1"/>
    <xf numFmtId="10" fontId="10" fillId="0" borderId="0" xfId="3" applyNumberFormat="1" applyFont="1"/>
    <xf numFmtId="3" fontId="11" fillId="3" borderId="8" xfId="3" applyNumberFormat="1" applyFont="1" applyFill="1" applyBorder="1" applyAlignment="1">
      <alignment horizontal="right"/>
    </xf>
    <xf numFmtId="165" fontId="9" fillId="3" borderId="8" xfId="3" applyNumberFormat="1" applyFont="1" applyFill="1" applyBorder="1"/>
    <xf numFmtId="165" fontId="9" fillId="0" borderId="8" xfId="3" applyNumberFormat="1" applyFont="1" applyBorder="1"/>
    <xf numFmtId="165" fontId="12" fillId="0" borderId="8" xfId="3" applyNumberFormat="1" applyFont="1" applyBorder="1"/>
    <xf numFmtId="43" fontId="3" fillId="0" borderId="0" xfId="4"/>
    <xf numFmtId="10" fontId="3" fillId="0" borderId="0" xfId="5" applyNumberFormat="1"/>
    <xf numFmtId="165" fontId="12" fillId="3" borderId="8" xfId="3" applyNumberFormat="1" applyFont="1" applyFill="1" applyBorder="1"/>
    <xf numFmtId="168" fontId="9" fillId="0" borderId="6" xfId="3" applyFont="1" applyBorder="1" applyAlignment="1">
      <alignment horizontal="right"/>
    </xf>
    <xf numFmtId="165" fontId="9" fillId="0" borderId="6" xfId="3" applyNumberFormat="1" applyFont="1" applyBorder="1"/>
    <xf numFmtId="10" fontId="9" fillId="0" borderId="0" xfId="3" applyNumberFormat="1" applyFont="1"/>
    <xf numFmtId="168" fontId="10" fillId="0" borderId="0" xfId="3" applyFont="1" applyAlignment="1">
      <alignment horizontal="right"/>
    </xf>
    <xf numFmtId="10" fontId="13" fillId="0" borderId="0" xfId="3" applyNumberFormat="1" applyFont="1"/>
    <xf numFmtId="9" fontId="3" fillId="0" borderId="0" xfId="5"/>
    <xf numFmtId="168" fontId="7" fillId="0" borderId="0" xfId="3" applyFont="1" applyAlignment="1">
      <alignment horizontal="left"/>
    </xf>
    <xf numFmtId="168" fontId="7" fillId="0" borderId="0" xfId="3" applyFont="1"/>
    <xf numFmtId="168" fontId="13" fillId="0" borderId="0" xfId="3" applyFont="1" applyAlignment="1">
      <alignment horizontal="left"/>
    </xf>
    <xf numFmtId="9" fontId="7" fillId="0" borderId="0" xfId="3" applyNumberFormat="1" applyFont="1"/>
    <xf numFmtId="168" fontId="3" fillId="0" borderId="0" xfId="3" applyAlignment="1">
      <alignment horizontal="right"/>
    </xf>
    <xf numFmtId="9" fontId="3" fillId="0" borderId="0" xfId="3" applyNumberFormat="1"/>
    <xf numFmtId="17" fontId="3" fillId="0" borderId="0" xfId="3" applyNumberFormat="1" applyAlignment="1">
      <alignment horizontal="right"/>
    </xf>
    <xf numFmtId="4" fontId="9" fillId="0" borderId="9" xfId="3" applyNumberFormat="1" applyFont="1" applyBorder="1"/>
    <xf numFmtId="4" fontId="9" fillId="3" borderId="8" xfId="3" applyNumberFormat="1" applyFont="1" applyFill="1" applyBorder="1"/>
    <xf numFmtId="4" fontId="9" fillId="0" borderId="8" xfId="3" applyNumberFormat="1" applyFont="1" applyBorder="1"/>
    <xf numFmtId="4" fontId="12" fillId="0" borderId="8" xfId="3" applyNumberFormat="1" applyFont="1" applyBorder="1"/>
    <xf numFmtId="4" fontId="12" fillId="3" borderId="8" xfId="3" applyNumberFormat="1" applyFont="1" applyFill="1" applyBorder="1"/>
    <xf numFmtId="4" fontId="9" fillId="0" borderId="6" xfId="3" applyNumberFormat="1" applyFont="1" applyBorder="1"/>
    <xf numFmtId="4" fontId="0" fillId="0" borderId="0" xfId="0" applyNumberFormat="1"/>
    <xf numFmtId="168" fontId="9" fillId="0" borderId="10" xfId="3" applyFont="1" applyBorder="1" applyAlignment="1">
      <alignment horizontal="right"/>
    </xf>
    <xf numFmtId="168" fontId="7" fillId="4" borderId="2" xfId="3" applyFont="1" applyFill="1" applyBorder="1" applyAlignment="1">
      <alignment horizontal="right"/>
    </xf>
    <xf numFmtId="49" fontId="8" fillId="4" borderId="3" xfId="3" applyNumberFormat="1" applyFont="1" applyFill="1" applyBorder="1" applyAlignment="1">
      <alignment horizontal="center"/>
    </xf>
    <xf numFmtId="49" fontId="8" fillId="4" borderId="2" xfId="3" applyNumberFormat="1" applyFont="1" applyFill="1" applyBorder="1" applyAlignment="1">
      <alignment horizontal="center"/>
    </xf>
    <xf numFmtId="3" fontId="11" fillId="3" borderId="6" xfId="3" applyNumberFormat="1" applyFont="1" applyFill="1" applyBorder="1" applyAlignment="1">
      <alignment horizontal="right"/>
    </xf>
    <xf numFmtId="165" fontId="9" fillId="3" borderId="6" xfId="3" applyNumberFormat="1" applyFont="1" applyFill="1" applyBorder="1"/>
    <xf numFmtId="169" fontId="7" fillId="0" borderId="0" xfId="3" applyNumberFormat="1" applyFont="1"/>
    <xf numFmtId="168" fontId="14" fillId="0" borderId="2" xfId="3" applyFont="1" applyBorder="1" applyAlignment="1"/>
    <xf numFmtId="165" fontId="3" fillId="0" borderId="0" xfId="2" applyNumberFormat="1"/>
    <xf numFmtId="0" fontId="3" fillId="0" borderId="2" xfId="2" applyBorder="1"/>
    <xf numFmtId="167" fontId="3" fillId="0" borderId="0" xfId="2" applyNumberFormat="1" applyBorder="1"/>
    <xf numFmtId="0" fontId="3" fillId="0" borderId="2" xfId="2" applyBorder="1" applyAlignment="1">
      <alignment horizontal="center"/>
    </xf>
    <xf numFmtId="3" fontId="3" fillId="0" borderId="11" xfId="2" applyNumberFormat="1" applyBorder="1"/>
    <xf numFmtId="166" fontId="3" fillId="0" borderId="11" xfId="2" applyNumberFormat="1" applyBorder="1"/>
    <xf numFmtId="166" fontId="3" fillId="0" borderId="12" xfId="2" applyNumberFormat="1" applyBorder="1"/>
    <xf numFmtId="170" fontId="3" fillId="0" borderId="2" xfId="2" applyNumberFormat="1" applyBorder="1"/>
    <xf numFmtId="4" fontId="3" fillId="0" borderId="2" xfId="2" applyNumberFormat="1" applyBorder="1"/>
    <xf numFmtId="170" fontId="3" fillId="0" borderId="0" xfId="2" applyNumberFormat="1"/>
    <xf numFmtId="4" fontId="3" fillId="0" borderId="0" xfId="2" applyNumberFormat="1"/>
    <xf numFmtId="171" fontId="10" fillId="0" borderId="0" xfId="3" applyNumberFormat="1" applyFont="1"/>
    <xf numFmtId="172" fontId="10" fillId="0" borderId="0" xfId="3" applyNumberFormat="1" applyFont="1"/>
    <xf numFmtId="0" fontId="8" fillId="0" borderId="6" xfId="3" applyNumberFormat="1" applyFont="1" applyBorder="1" applyAlignment="1">
      <alignment horizontal="center"/>
    </xf>
    <xf numFmtId="43" fontId="9" fillId="0" borderId="9" xfId="1" applyFont="1" applyBorder="1"/>
    <xf numFmtId="43" fontId="9" fillId="0" borderId="8" xfId="1" applyFont="1" applyBorder="1"/>
    <xf numFmtId="43" fontId="9" fillId="3" borderId="8" xfId="1" applyFont="1" applyFill="1" applyBorder="1"/>
    <xf numFmtId="43" fontId="9" fillId="3" borderId="6" xfId="1" applyFont="1" applyFill="1" applyBorder="1"/>
    <xf numFmtId="168" fontId="14" fillId="0" borderId="0" xfId="3" applyFont="1" applyBorder="1" applyAlignment="1"/>
    <xf numFmtId="0" fontId="3" fillId="0" borderId="0" xfId="2" applyBorder="1"/>
    <xf numFmtId="168" fontId="9" fillId="0" borderId="9" xfId="3" applyFont="1" applyBorder="1" applyAlignment="1">
      <alignment horizontal="right"/>
    </xf>
    <xf numFmtId="7" fontId="9" fillId="0" borderId="9" xfId="1" applyNumberFormat="1" applyFont="1" applyBorder="1"/>
    <xf numFmtId="7" fontId="9" fillId="0" borderId="8" xfId="1" applyNumberFormat="1" applyFont="1" applyBorder="1"/>
    <xf numFmtId="7" fontId="9" fillId="3" borderId="8" xfId="1" applyNumberFormat="1" applyFont="1" applyFill="1" applyBorder="1"/>
    <xf numFmtId="7" fontId="9" fillId="3" borderId="6" xfId="1" applyNumberFormat="1" applyFont="1" applyFill="1" applyBorder="1"/>
    <xf numFmtId="168" fontId="9" fillId="0" borderId="7" xfId="3" applyFont="1" applyBorder="1" applyAlignment="1">
      <alignment horizontal="right"/>
    </xf>
    <xf numFmtId="165" fontId="9" fillId="0" borderId="13" xfId="3" applyNumberFormat="1" applyFont="1" applyBorder="1"/>
    <xf numFmtId="165" fontId="9" fillId="0" borderId="14" xfId="3" applyNumberFormat="1" applyFont="1" applyBorder="1"/>
    <xf numFmtId="165" fontId="9" fillId="3" borderId="14" xfId="3" applyNumberFormat="1" applyFont="1" applyFill="1" applyBorder="1"/>
    <xf numFmtId="165" fontId="12" fillId="0" borderId="14" xfId="3" applyNumberFormat="1" applyFont="1" applyBorder="1"/>
    <xf numFmtId="165" fontId="12" fillId="3" borderId="14" xfId="3" applyNumberFormat="1" applyFont="1" applyFill="1" applyBorder="1"/>
    <xf numFmtId="165" fontId="9" fillId="0" borderId="15" xfId="3" applyNumberFormat="1" applyFont="1" applyBorder="1"/>
    <xf numFmtId="166" fontId="3" fillId="0" borderId="0" xfId="2" applyNumberFormat="1"/>
    <xf numFmtId="3" fontId="0" fillId="2" borderId="0" xfId="0" applyNumberFormat="1" applyFill="1"/>
    <xf numFmtId="171" fontId="0" fillId="0" borderId="0" xfId="6" applyNumberFormat="1" applyFont="1"/>
    <xf numFmtId="172" fontId="0" fillId="0" borderId="0" xfId="6" applyNumberFormat="1" applyFont="1"/>
    <xf numFmtId="165" fontId="0" fillId="2" borderId="0" xfId="0" applyNumberFormat="1" applyFill="1"/>
    <xf numFmtId="173" fontId="0" fillId="0" borderId="0" xfId="6" applyNumberFormat="1" applyFont="1"/>
    <xf numFmtId="165" fontId="9" fillId="0" borderId="17" xfId="3" applyNumberFormat="1" applyFont="1" applyBorder="1"/>
    <xf numFmtId="165" fontId="9" fillId="0" borderId="18" xfId="3" applyNumberFormat="1" applyFont="1" applyBorder="1"/>
    <xf numFmtId="165" fontId="9" fillId="0" borderId="0" xfId="3" applyNumberFormat="1" applyFont="1" applyBorder="1"/>
    <xf numFmtId="165" fontId="9" fillId="0" borderId="16" xfId="3" applyNumberFormat="1" applyFont="1" applyBorder="1"/>
    <xf numFmtId="0" fontId="2" fillId="0" borderId="0" xfId="2" applyFont="1" applyFill="1"/>
    <xf numFmtId="0" fontId="3" fillId="0" borderId="19" xfId="2" applyBorder="1"/>
    <xf numFmtId="170" fontId="3" fillId="0" borderId="19" xfId="2" applyNumberFormat="1" applyBorder="1"/>
    <xf numFmtId="4" fontId="3" fillId="0" borderId="19" xfId="2" applyNumberFormat="1" applyBorder="1"/>
    <xf numFmtId="166" fontId="3" fillId="0" borderId="19" xfId="2" applyNumberFormat="1" applyBorder="1"/>
    <xf numFmtId="168" fontId="14" fillId="0" borderId="3" xfId="3" applyFont="1" applyBorder="1" applyAlignment="1">
      <alignment horizontal="center"/>
    </xf>
    <xf numFmtId="168" fontId="14" fillId="0" borderId="4" xfId="3" applyFont="1" applyBorder="1" applyAlignment="1">
      <alignment horizontal="center"/>
    </xf>
    <xf numFmtId="168" fontId="14" fillId="0" borderId="5" xfId="3" applyFont="1" applyBorder="1" applyAlignment="1">
      <alignment horizontal="center"/>
    </xf>
    <xf numFmtId="168" fontId="14" fillId="0" borderId="2" xfId="3" applyFont="1" applyBorder="1" applyAlignment="1">
      <alignment horizontal="center"/>
    </xf>
    <xf numFmtId="0" fontId="15" fillId="5" borderId="3" xfId="2" applyFont="1" applyFill="1" applyBorder="1" applyAlignment="1">
      <alignment horizontal="center"/>
    </xf>
    <xf numFmtId="0" fontId="15" fillId="5" borderId="4" xfId="2" applyFont="1" applyFill="1" applyBorder="1" applyAlignment="1">
      <alignment horizontal="center"/>
    </xf>
    <xf numFmtId="0" fontId="15" fillId="5" borderId="5" xfId="2" applyFont="1" applyFill="1" applyBorder="1" applyAlignment="1">
      <alignment horizontal="center"/>
    </xf>
    <xf numFmtId="168" fontId="5" fillId="0" borderId="0" xfId="3" applyFont="1" applyAlignment="1">
      <alignment horizontal="center"/>
    </xf>
    <xf numFmtId="168" fontId="6" fillId="0" borderId="0" xfId="3" applyFont="1" applyAlignment="1">
      <alignment horizontal="center"/>
    </xf>
  </cellXfs>
  <cellStyles count="7">
    <cellStyle name="Comma" xfId="1" builtinId="3"/>
    <cellStyle name="Comma 3" xfId="4" xr:uid="{23831145-4865-4F44-B225-FCF0C948B1FC}"/>
    <cellStyle name="Normal" xfId="0" builtinId="0"/>
    <cellStyle name="Normal 2" xfId="2" xr:uid="{5F8D148C-9796-4E40-8349-30290DC8D4C8}"/>
    <cellStyle name="Normal 2 2" xfId="3" xr:uid="{4C34E2D1-6A22-4FA8-905E-0B2C06C8792E}"/>
    <cellStyle name="Percent" xfId="6" builtinId="5"/>
    <cellStyle name="Percent 4" xfId="5" xr:uid="{D4D7ABBD-EF70-40B8-B8AA-252929BB9631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7344897" cy="647700"/>
    <xdr:sp macro="" textlink="">
      <xdr:nvSpPr>
        <xdr:cNvPr id="2" name="Shape 1">
          <a:extLst>
            <a:ext uri="{FF2B5EF4-FFF2-40B4-BE49-F238E27FC236}">
              <a16:creationId xmlns:a16="http://schemas.microsoft.com/office/drawing/2014/main" id="{AC5F38A8-9274-4902-A1E2-D68682982FE2}"/>
            </a:ext>
          </a:extLst>
        </xdr:cNvPr>
        <xdr:cNvSpPr/>
      </xdr:nvSpPr>
      <xdr:spPr>
        <a:xfrm>
          <a:off x="0" y="0"/>
          <a:ext cx="7344897" cy="647700"/>
        </a:xfrm>
        <a:prstGeom prst="rect">
          <a:avLst/>
        </a:prstGeom>
        <a:solidFill>
          <a:srgbClr val="FFFFFF"/>
        </a:solidFill>
      </xdr:spPr>
      <xdr:txBody>
        <a:bodyPr rtlCol="0" anchor="t"/>
        <a:lstStyle/>
        <a:p>
          <a:r>
            <a:rPr lang="en-US" sz="900" u="none">
              <a:solidFill>
                <a:srgbClr val="000000"/>
              </a:solidFill>
              <a:latin typeface="Arial"/>
            </a:rPr>
            <a:t>
</a:t>
          </a:r>
          <a:r>
            <a:rPr lang="en-US" sz="1000" b="1" u="none">
              <a:solidFill>
                <a:srgbClr val="000000"/>
              </a:solidFill>
              <a:latin typeface="Arial"/>
            </a:rPr>
            <a:t>Untitled Adhoc Report</a:t>
          </a:r>
          <a:r>
            <a:rPr lang="en-US" sz="900" u="none">
              <a:solidFill>
                <a:srgbClr val="000000"/>
              </a:solidFill>
              <a:latin typeface="Arial"/>
            </a:rPr>
            <a:t>
</a:t>
          </a:r>
          <a:r>
            <a:rPr lang="en-US" sz="900" b="1" u="none">
              <a:solidFill>
                <a:srgbClr val="000000"/>
              </a:solidFill>
              <a:latin typeface="Arial"/>
            </a:rPr>
            <a:t>Product: </a:t>
          </a:r>
          <a:r>
            <a:rPr lang="en-US" sz="900" u="none">
              <a:solidFill>
                <a:srgbClr val="000000"/>
              </a:solidFill>
              <a:latin typeface="Arial"/>
            </a:rPr>
            <a:t>FRESH MUSHROOMS </a:t>
          </a:r>
          <a:r>
            <a:rPr lang="en-US" sz="900" b="1" u="none">
              <a:solidFill>
                <a:srgbClr val="000000"/>
              </a:solidFill>
              <a:latin typeface="Arial"/>
            </a:rPr>
            <a:t>Geography: </a:t>
          </a:r>
          <a:r>
            <a:rPr lang="en-US" sz="900" u="none">
              <a:solidFill>
                <a:srgbClr val="000000"/>
              </a:solidFill>
              <a:latin typeface="Arial"/>
            </a:rPr>
            <a:t>Total US - Multi Outlet
</a:t>
          </a:r>
        </a:p>
      </xdr:txBody>
    </xdr:sp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EA9EB-CEB7-4B83-B331-D907609F8010}">
  <sheetPr>
    <tabColor theme="8" tint="0.59999389629810485"/>
  </sheetPr>
  <dimension ref="A1:J20"/>
  <sheetViews>
    <sheetView workbookViewId="0">
      <selection activeCell="B1" sqref="B1"/>
    </sheetView>
  </sheetViews>
  <sheetFormatPr defaultRowHeight="15" x14ac:dyDescent="0.25"/>
  <cols>
    <col min="1" max="1" width="13.7109375" customWidth="1"/>
    <col min="2" max="2" width="13.85546875" bestFit="1" customWidth="1"/>
    <col min="3" max="3" width="24.42578125" bestFit="1" customWidth="1"/>
    <col min="4" max="4" width="12.140625" style="1" bestFit="1" customWidth="1"/>
    <col min="5" max="5" width="13.140625" style="2" bestFit="1" customWidth="1"/>
    <col min="6" max="6" width="16.42578125" style="3" bestFit="1" customWidth="1"/>
    <col min="8" max="8" width="11.28515625" bestFit="1" customWidth="1"/>
    <col min="9" max="9" width="13.140625" bestFit="1" customWidth="1"/>
    <col min="10" max="10" width="16.42578125" bestFit="1" customWidth="1"/>
  </cols>
  <sheetData>
    <row r="1" spans="1:10" x14ac:dyDescent="0.25">
      <c r="A1" s="11" t="s">
        <v>152</v>
      </c>
      <c r="B1" s="17"/>
      <c r="C1" s="18"/>
      <c r="D1" s="94"/>
      <c r="E1" s="97"/>
      <c r="F1"/>
    </row>
    <row r="2" spans="1:10" x14ac:dyDescent="0.25">
      <c r="A2" s="11" t="s">
        <v>76</v>
      </c>
      <c r="B2" s="17"/>
      <c r="C2" s="18"/>
      <c r="D2" s="94"/>
      <c r="E2" s="97"/>
      <c r="F2"/>
    </row>
    <row r="3" spans="1:10" x14ac:dyDescent="0.25">
      <c r="A3" s="11" t="s">
        <v>110</v>
      </c>
      <c r="B3" s="17"/>
      <c r="C3" s="18"/>
      <c r="D3" s="94"/>
      <c r="E3" s="97"/>
      <c r="F3"/>
    </row>
    <row r="4" spans="1:10" s="12" customFormat="1" x14ac:dyDescent="0.25">
      <c r="B4" s="13"/>
      <c r="D4" s="14"/>
      <c r="E4" s="15"/>
      <c r="F4" s="16"/>
    </row>
    <row r="5" spans="1:10" x14ac:dyDescent="0.25">
      <c r="A5" t="s">
        <v>78</v>
      </c>
      <c r="B5" t="s">
        <v>0</v>
      </c>
      <c r="C5" t="s">
        <v>1</v>
      </c>
      <c r="D5" s="1" t="s">
        <v>2</v>
      </c>
      <c r="E5" s="2" t="s">
        <v>3</v>
      </c>
      <c r="F5" s="3" t="s">
        <v>4</v>
      </c>
      <c r="H5" s="1" t="s">
        <v>2</v>
      </c>
      <c r="I5" s="2" t="s">
        <v>3</v>
      </c>
      <c r="J5" s="3" t="s">
        <v>4</v>
      </c>
    </row>
    <row r="6" spans="1:10" x14ac:dyDescent="0.25">
      <c r="A6" t="s">
        <v>153</v>
      </c>
      <c r="B6" t="s">
        <v>112</v>
      </c>
      <c r="C6" t="s">
        <v>113</v>
      </c>
      <c r="D6" s="1">
        <f>'2012 Topline Reports'!D6/(1+'2012 Topline Reports'!E6)</f>
        <v>70495994.979919672</v>
      </c>
      <c r="E6" s="2">
        <f>'2012 Topline Reports'!F6/(1+'2012 Topline Reports'!G6)</f>
        <v>17326272.72727273</v>
      </c>
      <c r="F6" s="3">
        <f>D6/E6</f>
        <v>4.0687340023774521</v>
      </c>
      <c r="H6" s="3">
        <f>D6/1000000</f>
        <v>70.495994979919672</v>
      </c>
      <c r="I6" s="52">
        <f>E6/1000000</f>
        <v>17.32627272727273</v>
      </c>
      <c r="J6" s="3">
        <f>H6/I6</f>
        <v>4.0687340023774521</v>
      </c>
    </row>
    <row r="7" spans="1:10" x14ac:dyDescent="0.25">
      <c r="A7" t="s">
        <v>154</v>
      </c>
      <c r="B7" t="s">
        <v>114</v>
      </c>
      <c r="C7" t="s">
        <v>113</v>
      </c>
      <c r="D7" s="1">
        <f>'2012 Topline Reports'!D7/(1+'2012 Topline Reports'!E7)</f>
        <v>67919304.477611944</v>
      </c>
      <c r="E7" s="2">
        <f>'2012 Topline Reports'!F7/(1+'2012 Topline Reports'!G7)</f>
        <v>16680536.779324055</v>
      </c>
      <c r="F7" s="3">
        <f t="shared" ref="F7:F18" si="0">D7/E7</f>
        <v>4.0717697143775151</v>
      </c>
      <c r="H7" s="3">
        <f t="shared" ref="H7:H18" si="1">D7/1000000</f>
        <v>67.919304477611945</v>
      </c>
      <c r="I7" s="52">
        <f t="shared" ref="I7:I18" si="2">E7/1000000</f>
        <v>16.680536779324054</v>
      </c>
      <c r="J7" s="3">
        <f t="shared" ref="J7:J18" si="3">H7/I7</f>
        <v>4.0717697143775151</v>
      </c>
    </row>
    <row r="8" spans="1:10" x14ac:dyDescent="0.25">
      <c r="A8" t="s">
        <v>155</v>
      </c>
      <c r="B8" t="s">
        <v>115</v>
      </c>
      <c r="C8" t="s">
        <v>113</v>
      </c>
      <c r="D8" s="1">
        <f>'2012 Topline Reports'!D8/(1+'2012 Topline Reports'!E8)</f>
        <v>66624140.816326529</v>
      </c>
      <c r="E8" s="2">
        <f>'2012 Topline Reports'!F8/(1+'2012 Topline Reports'!G8)</f>
        <v>16409042.355371902</v>
      </c>
      <c r="F8" s="3">
        <f t="shared" si="0"/>
        <v>4.0602089612204262</v>
      </c>
      <c r="H8" s="3">
        <f t="shared" si="1"/>
        <v>66.624140816326531</v>
      </c>
      <c r="I8" s="52">
        <f t="shared" si="2"/>
        <v>16.409042355371902</v>
      </c>
      <c r="J8" s="3">
        <f t="shared" si="3"/>
        <v>4.0602089612204262</v>
      </c>
    </row>
    <row r="9" spans="1:10" x14ac:dyDescent="0.25">
      <c r="A9" t="s">
        <v>156</v>
      </c>
      <c r="B9" t="s">
        <v>116</v>
      </c>
      <c r="C9" t="s">
        <v>113</v>
      </c>
      <c r="D9" s="1">
        <f>'2012 Topline Reports'!D9/(1+'2012 Topline Reports'!E9)</f>
        <v>67429670.010030091</v>
      </c>
      <c r="E9" s="2">
        <f>'2012 Topline Reports'!F9/(1+'2012 Topline Reports'!G9)</f>
        <v>16774601.814516129</v>
      </c>
      <c r="F9" s="3">
        <f t="shared" si="0"/>
        <v>4.0197478757247707</v>
      </c>
      <c r="H9" s="3">
        <f t="shared" si="1"/>
        <v>67.429670010030094</v>
      </c>
      <c r="I9" s="52">
        <f t="shared" si="2"/>
        <v>16.774601814516128</v>
      </c>
      <c r="J9" s="3">
        <f t="shared" si="3"/>
        <v>4.0197478757247707</v>
      </c>
    </row>
    <row r="10" spans="1:10" x14ac:dyDescent="0.25">
      <c r="A10" t="s">
        <v>157</v>
      </c>
      <c r="B10" t="s">
        <v>117</v>
      </c>
      <c r="C10" t="s">
        <v>113</v>
      </c>
      <c r="D10" s="1">
        <f>'2012 Topline Reports'!D10/(1+'2012 Topline Reports'!E10)</f>
        <v>61692773.854961827</v>
      </c>
      <c r="E10" s="2">
        <f>'2012 Topline Reports'!F10/(1+'2012 Topline Reports'!G10)</f>
        <v>15292289.370078741</v>
      </c>
      <c r="F10" s="3">
        <f t="shared" si="0"/>
        <v>4.0342405484211792</v>
      </c>
      <c r="H10" s="3">
        <f t="shared" si="1"/>
        <v>61.692773854961828</v>
      </c>
      <c r="I10" s="52">
        <f t="shared" si="2"/>
        <v>15.292289370078741</v>
      </c>
      <c r="J10" s="3">
        <f t="shared" si="3"/>
        <v>4.0342405484211792</v>
      </c>
    </row>
    <row r="11" spans="1:10" x14ac:dyDescent="0.25">
      <c r="A11" t="s">
        <v>158</v>
      </c>
      <c r="B11" t="s">
        <v>118</v>
      </c>
      <c r="C11" t="s">
        <v>113</v>
      </c>
      <c r="D11" s="1">
        <f>'2012 Topline Reports'!D11/(1+'2012 Topline Reports'!E11)</f>
        <v>61990809.659090906</v>
      </c>
      <c r="E11" s="2">
        <f>'2012 Topline Reports'!F11/(1+'2012 Topline Reports'!G11)</f>
        <v>15090811.965811966</v>
      </c>
      <c r="F11" s="3">
        <f t="shared" si="0"/>
        <v>4.1078511745776343</v>
      </c>
      <c r="H11" s="3">
        <f t="shared" si="1"/>
        <v>61.990809659090907</v>
      </c>
      <c r="I11" s="52">
        <f t="shared" si="2"/>
        <v>15.090811965811966</v>
      </c>
      <c r="J11" s="3">
        <f t="shared" si="3"/>
        <v>4.1078511745776343</v>
      </c>
    </row>
    <row r="12" spans="1:10" x14ac:dyDescent="0.25">
      <c r="A12" t="s">
        <v>159</v>
      </c>
      <c r="B12" t="s">
        <v>119</v>
      </c>
      <c r="C12" t="s">
        <v>113</v>
      </c>
      <c r="D12" s="1">
        <f>'2012 Topline Reports'!D12/(1+'2012 Topline Reports'!E12)</f>
        <v>59776253.630203299</v>
      </c>
      <c r="E12" s="2">
        <f>'2012 Topline Reports'!F12/(1+'2012 Topline Reports'!G12)</f>
        <v>14601360.591133006</v>
      </c>
      <c r="F12" s="3">
        <f t="shared" si="0"/>
        <v>4.09388243356607</v>
      </c>
      <c r="H12" s="3">
        <f t="shared" si="1"/>
        <v>59.7762536302033</v>
      </c>
      <c r="I12" s="52">
        <f t="shared" si="2"/>
        <v>14.601360591133005</v>
      </c>
      <c r="J12" s="3">
        <f t="shared" si="3"/>
        <v>4.09388243356607</v>
      </c>
    </row>
    <row r="13" spans="1:10" x14ac:dyDescent="0.25">
      <c r="A13" t="s">
        <v>160</v>
      </c>
      <c r="B13" t="s">
        <v>120</v>
      </c>
      <c r="C13" t="s">
        <v>113</v>
      </c>
      <c r="D13" s="1">
        <f>'2012 Topline Reports'!D13/(1+'2012 Topline Reports'!E13)</f>
        <v>57209065.573770493</v>
      </c>
      <c r="E13" s="2">
        <f>'2012 Topline Reports'!F13/(1+'2012 Topline Reports'!G13)</f>
        <v>14304973.477406679</v>
      </c>
      <c r="F13" s="3">
        <f t="shared" si="0"/>
        <v>3.9992430369847716</v>
      </c>
      <c r="H13" s="3">
        <f t="shared" si="1"/>
        <v>57.209065573770495</v>
      </c>
      <c r="I13" s="52">
        <f t="shared" si="2"/>
        <v>14.304973477406678</v>
      </c>
      <c r="J13" s="3">
        <f t="shared" si="3"/>
        <v>3.9992430369847716</v>
      </c>
    </row>
    <row r="14" spans="1:10" x14ac:dyDescent="0.25">
      <c r="A14" t="s">
        <v>161</v>
      </c>
      <c r="B14" t="s">
        <v>121</v>
      </c>
      <c r="C14" t="s">
        <v>113</v>
      </c>
      <c r="D14" s="1">
        <f>'2012 Topline Reports'!D14/(1+'2012 Topline Reports'!E14)</f>
        <v>59643158.869395711</v>
      </c>
      <c r="E14" s="2">
        <f>'2012 Topline Reports'!F14/(1+'2012 Topline Reports'!G14)</f>
        <v>14564368.217054263</v>
      </c>
      <c r="F14" s="3">
        <f t="shared" si="0"/>
        <v>4.0951421977615263</v>
      </c>
      <c r="H14" s="3">
        <f t="shared" si="1"/>
        <v>59.643158869395712</v>
      </c>
      <c r="I14" s="52">
        <f t="shared" si="2"/>
        <v>14.564368217054263</v>
      </c>
      <c r="J14" s="3">
        <f t="shared" si="3"/>
        <v>4.0951421977615263</v>
      </c>
    </row>
    <row r="15" spans="1:10" x14ac:dyDescent="0.25">
      <c r="A15" t="s">
        <v>162</v>
      </c>
      <c r="B15" t="s">
        <v>122</v>
      </c>
      <c r="C15" t="s">
        <v>113</v>
      </c>
      <c r="D15" s="1">
        <f>'2012 Topline Reports'!D15/(1+'2012 Topline Reports'!E15)</f>
        <v>59447569.511025891</v>
      </c>
      <c r="E15" s="2">
        <f>'2012 Topline Reports'!F15/(1+'2012 Topline Reports'!G15)</f>
        <v>14533236.917221695</v>
      </c>
      <c r="F15" s="3">
        <f t="shared" si="0"/>
        <v>4.0904562314387993</v>
      </c>
      <c r="H15" s="3">
        <f t="shared" si="1"/>
        <v>59.44756951102589</v>
      </c>
      <c r="I15" s="52">
        <f t="shared" si="2"/>
        <v>14.533236917221695</v>
      </c>
      <c r="J15" s="3">
        <f t="shared" si="3"/>
        <v>4.0904562314387993</v>
      </c>
    </row>
    <row r="16" spans="1:10" x14ac:dyDescent="0.25">
      <c r="A16" t="s">
        <v>163</v>
      </c>
      <c r="B16" t="s">
        <v>123</v>
      </c>
      <c r="C16" t="s">
        <v>113</v>
      </c>
      <c r="D16" s="1">
        <f>'2012 Topline Reports'!D16/(1+'2012 Topline Reports'!E16)</f>
        <v>59873343.137254901</v>
      </c>
      <c r="E16" s="2">
        <f>'2012 Topline Reports'!F16/(1+'2012 Topline Reports'!G16)</f>
        <v>14774882.237487735</v>
      </c>
      <c r="F16" s="3">
        <f t="shared" si="0"/>
        <v>4.0523736280848714</v>
      </c>
      <c r="H16" s="3">
        <f t="shared" si="1"/>
        <v>59.873343137254899</v>
      </c>
      <c r="I16" s="52">
        <f t="shared" si="2"/>
        <v>14.774882237487736</v>
      </c>
      <c r="J16" s="3">
        <f t="shared" si="3"/>
        <v>4.0523736280848714</v>
      </c>
    </row>
    <row r="17" spans="1:10" x14ac:dyDescent="0.25">
      <c r="A17" t="s">
        <v>164</v>
      </c>
      <c r="B17" t="s">
        <v>124</v>
      </c>
      <c r="C17" t="s">
        <v>113</v>
      </c>
      <c r="D17" s="1">
        <f>'2012 Topline Reports'!D17/(1+'2012 Topline Reports'!E17)</f>
        <v>66961028.487229861</v>
      </c>
      <c r="E17" s="2">
        <f>'2012 Topline Reports'!F17/(1+'2012 Topline Reports'!G17)</f>
        <v>16516940.94488189</v>
      </c>
      <c r="F17" s="3">
        <f t="shared" si="0"/>
        <v>4.0540817280078185</v>
      </c>
      <c r="H17" s="3">
        <f t="shared" si="1"/>
        <v>66.961028487229868</v>
      </c>
      <c r="I17" s="52">
        <f t="shared" si="2"/>
        <v>16.516940944881888</v>
      </c>
      <c r="J17" s="3">
        <f t="shared" si="3"/>
        <v>4.0540817280078194</v>
      </c>
    </row>
    <row r="18" spans="1:10" x14ac:dyDescent="0.25">
      <c r="A18" t="s">
        <v>165</v>
      </c>
      <c r="B18" t="s">
        <v>125</v>
      </c>
      <c r="C18" t="s">
        <v>113</v>
      </c>
      <c r="D18" s="1">
        <f>'2012 Topline Reports'!D18/(1+'2012 Topline Reports'!E18)</f>
        <v>70089633.232016206</v>
      </c>
      <c r="E18" s="2">
        <f>'2012 Topline Reports'!F18/(1+'2012 Topline Reports'!G18)</f>
        <v>17315716.479017399</v>
      </c>
      <c r="F18" s="3">
        <f t="shared" si="0"/>
        <v>4.047746642014407</v>
      </c>
      <c r="H18" s="3">
        <f t="shared" si="1"/>
        <v>70.089633232016212</v>
      </c>
      <c r="I18" s="52">
        <f t="shared" si="2"/>
        <v>17.3157164790174</v>
      </c>
      <c r="J18" s="3">
        <f t="shared" si="3"/>
        <v>4.047746642014407</v>
      </c>
    </row>
    <row r="20" spans="1:10" x14ac:dyDescent="0.25">
      <c r="D20" s="1">
        <f>SUM(D6:D18)</f>
        <v>829152746.23883736</v>
      </c>
      <c r="E20" s="2">
        <f>SUM(E6:E18)</f>
        <v>204185033.87657818</v>
      </c>
      <c r="H20" s="3">
        <f>SUM(H6:H18)</f>
        <v>829.15274623883749</v>
      </c>
      <c r="I20" s="52">
        <f>SUM(I6:I18)</f>
        <v>204.18503387657816</v>
      </c>
      <c r="J20" s="3">
        <f>H20/I20</f>
        <v>4.060790991860979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715D3-14BA-4172-9B7E-422DBC772AB3}">
  <sheetPr>
    <tabColor theme="8" tint="0.59999389629810485"/>
  </sheetPr>
  <dimension ref="A1:L34"/>
  <sheetViews>
    <sheetView workbookViewId="0">
      <selection activeCell="K20" sqref="K20"/>
    </sheetView>
  </sheetViews>
  <sheetFormatPr defaultRowHeight="15" x14ac:dyDescent="0.25"/>
  <cols>
    <col min="1" max="1" width="10.7109375" bestFit="1" customWidth="1"/>
    <col min="2" max="2" width="13.85546875" bestFit="1" customWidth="1"/>
    <col min="3" max="3" width="24.42578125" bestFit="1" customWidth="1"/>
    <col min="4" max="4" width="12.140625" style="1" bestFit="1" customWidth="1"/>
    <col min="5" max="5" width="9" style="1" bestFit="1" customWidth="1"/>
    <col min="6" max="6" width="13.140625" style="2" bestFit="1" customWidth="1"/>
    <col min="7" max="7" width="9" style="2" bestFit="1" customWidth="1"/>
    <col min="8" max="8" width="11.28515625" style="3" bestFit="1" customWidth="1"/>
    <col min="10" max="10" width="11.28515625" bestFit="1" customWidth="1"/>
    <col min="11" max="11" width="13.140625" bestFit="1" customWidth="1"/>
    <col min="12" max="12" width="11.28515625" bestFit="1" customWidth="1"/>
  </cols>
  <sheetData>
    <row r="1" spans="1:12" x14ac:dyDescent="0.25">
      <c r="A1" s="11" t="s">
        <v>109</v>
      </c>
      <c r="B1" s="17"/>
      <c r="C1" s="17"/>
      <c r="D1" s="18"/>
      <c r="E1" s="18"/>
      <c r="F1" s="94"/>
    </row>
    <row r="2" spans="1:12" x14ac:dyDescent="0.25">
      <c r="A2" s="11" t="s">
        <v>76</v>
      </c>
      <c r="B2" s="17"/>
      <c r="C2" s="17"/>
      <c r="D2" s="18"/>
      <c r="E2" s="18"/>
      <c r="F2" s="94"/>
    </row>
    <row r="3" spans="1:12" x14ac:dyDescent="0.25">
      <c r="A3" s="11" t="s">
        <v>110</v>
      </c>
      <c r="B3" s="17"/>
      <c r="C3" s="17"/>
      <c r="D3" s="18"/>
      <c r="E3" s="18"/>
      <c r="F3" s="94"/>
    </row>
    <row r="4" spans="1:12" x14ac:dyDescent="0.25">
      <c r="A4" s="13"/>
      <c r="B4" s="12"/>
      <c r="C4" s="12"/>
    </row>
    <row r="5" spans="1:12" x14ac:dyDescent="0.25">
      <c r="A5" t="s">
        <v>78</v>
      </c>
      <c r="B5" t="s">
        <v>0</v>
      </c>
      <c r="C5" t="s">
        <v>1</v>
      </c>
      <c r="D5" s="1" t="s">
        <v>2</v>
      </c>
      <c r="E5" s="1" t="s">
        <v>127</v>
      </c>
      <c r="F5" s="2" t="s">
        <v>3</v>
      </c>
      <c r="G5" s="2" t="s">
        <v>127</v>
      </c>
      <c r="H5" s="3" t="s">
        <v>104</v>
      </c>
      <c r="J5" s="1" t="s">
        <v>2</v>
      </c>
      <c r="K5" s="2" t="s">
        <v>3</v>
      </c>
      <c r="L5" s="3" t="s">
        <v>104</v>
      </c>
    </row>
    <row r="6" spans="1:12" x14ac:dyDescent="0.25">
      <c r="A6" t="s">
        <v>111</v>
      </c>
      <c r="B6" t="s">
        <v>130</v>
      </c>
      <c r="C6" t="s">
        <v>113</v>
      </c>
      <c r="D6" s="1">
        <v>70214011</v>
      </c>
      <c r="E6" s="96">
        <v>-4.0000000000000001E-3</v>
      </c>
      <c r="F6" s="2">
        <v>17343599</v>
      </c>
      <c r="G6" s="96">
        <v>1E-3</v>
      </c>
      <c r="H6" s="3">
        <f>D6/F6</f>
        <v>4.0484106557122317</v>
      </c>
      <c r="I6" s="3"/>
      <c r="J6" s="3">
        <f>D6/1000000</f>
        <v>70.214010999999999</v>
      </c>
      <c r="K6" s="52">
        <f>F6/1000000</f>
        <v>17.343599000000001</v>
      </c>
      <c r="L6" s="3">
        <f>J6/K6</f>
        <v>4.0484106557122308</v>
      </c>
    </row>
    <row r="7" spans="1:12" x14ac:dyDescent="0.25">
      <c r="A7" t="s">
        <v>126</v>
      </c>
      <c r="B7" t="s">
        <v>131</v>
      </c>
      <c r="C7" t="s">
        <v>113</v>
      </c>
      <c r="D7" s="1">
        <v>68258901</v>
      </c>
      <c r="E7" s="96">
        <v>5.0000000000000001E-3</v>
      </c>
      <c r="F7" s="2">
        <v>16780620</v>
      </c>
      <c r="G7" s="96">
        <v>6.0000000000000001E-3</v>
      </c>
      <c r="H7" s="3">
        <f t="shared" ref="H7:H18" si="0">D7/F7</f>
        <v>4.0677222295719702</v>
      </c>
      <c r="J7" s="3">
        <f t="shared" ref="J7:J18" si="1">D7/1000000</f>
        <v>68.258900999999994</v>
      </c>
      <c r="K7" s="52">
        <f t="shared" ref="K7:K18" si="2">F7/1000000</f>
        <v>16.780619999999999</v>
      </c>
      <c r="L7" s="3">
        <f t="shared" ref="L7:L18" si="3">J7/K7</f>
        <v>4.0677222295719702</v>
      </c>
    </row>
    <row r="8" spans="1:12" x14ac:dyDescent="0.25">
      <c r="A8" t="s">
        <v>128</v>
      </c>
      <c r="B8" t="s">
        <v>132</v>
      </c>
      <c r="C8" t="s">
        <v>113</v>
      </c>
      <c r="D8" s="1">
        <v>65291658</v>
      </c>
      <c r="E8" s="96">
        <v>-0.02</v>
      </c>
      <c r="F8" s="2">
        <v>15883953</v>
      </c>
      <c r="G8" s="96">
        <v>-3.2000000000000001E-2</v>
      </c>
      <c r="H8" s="3">
        <f t="shared" si="0"/>
        <v>4.1105421301611758</v>
      </c>
      <c r="J8" s="3">
        <f t="shared" si="1"/>
        <v>65.291657999999998</v>
      </c>
      <c r="K8" s="52">
        <f t="shared" si="2"/>
        <v>15.883953</v>
      </c>
      <c r="L8" s="3">
        <f t="shared" si="3"/>
        <v>4.1105421301611758</v>
      </c>
    </row>
    <row r="9" spans="1:12" x14ac:dyDescent="0.25">
      <c r="A9" t="s">
        <v>129</v>
      </c>
      <c r="B9" t="s">
        <v>133</v>
      </c>
      <c r="C9" t="s">
        <v>113</v>
      </c>
      <c r="D9" s="1">
        <v>67227381</v>
      </c>
      <c r="E9" s="96">
        <v>-3.0000000000000001E-3</v>
      </c>
      <c r="F9" s="2">
        <v>16640405</v>
      </c>
      <c r="G9" s="96">
        <v>-8.0000000000000002E-3</v>
      </c>
      <c r="H9" s="3">
        <f t="shared" si="0"/>
        <v>4.0400087017112867</v>
      </c>
      <c r="J9" s="3">
        <f t="shared" si="1"/>
        <v>67.227380999999994</v>
      </c>
      <c r="K9" s="52">
        <f t="shared" si="2"/>
        <v>16.640405000000001</v>
      </c>
      <c r="L9" s="3">
        <f t="shared" si="3"/>
        <v>4.0400087017112858</v>
      </c>
    </row>
    <row r="10" spans="1:12" x14ac:dyDescent="0.25">
      <c r="A10" t="s">
        <v>143</v>
      </c>
      <c r="B10" t="s">
        <v>134</v>
      </c>
      <c r="C10" t="s">
        <v>113</v>
      </c>
      <c r="D10" s="1">
        <v>64654027</v>
      </c>
      <c r="E10" s="96">
        <v>4.8000000000000001E-2</v>
      </c>
      <c r="F10" s="2">
        <v>15536966</v>
      </c>
      <c r="G10" s="96">
        <v>1.6E-2</v>
      </c>
      <c r="H10" s="3">
        <f t="shared" si="0"/>
        <v>4.1613032428596419</v>
      </c>
      <c r="J10" s="3">
        <f t="shared" si="1"/>
        <v>64.654026999999999</v>
      </c>
      <c r="K10" s="52">
        <f t="shared" si="2"/>
        <v>15.536966</v>
      </c>
      <c r="L10" s="3">
        <f t="shared" si="3"/>
        <v>4.1613032428596419</v>
      </c>
    </row>
    <row r="11" spans="1:12" x14ac:dyDescent="0.25">
      <c r="A11" t="s">
        <v>144</v>
      </c>
      <c r="B11" t="s">
        <v>135</v>
      </c>
      <c r="C11" t="s">
        <v>113</v>
      </c>
      <c r="D11" s="1">
        <v>65462295</v>
      </c>
      <c r="E11" s="96">
        <v>5.6000000000000001E-2</v>
      </c>
      <c r="F11" s="2">
        <v>15890625</v>
      </c>
      <c r="G11" s="96">
        <v>5.2999999999999999E-2</v>
      </c>
      <c r="H11" s="3">
        <f t="shared" si="0"/>
        <v>4.1195544542772859</v>
      </c>
      <c r="J11" s="3">
        <f t="shared" si="1"/>
        <v>65.462294999999997</v>
      </c>
      <c r="K11" s="52">
        <f t="shared" si="2"/>
        <v>15.890625</v>
      </c>
      <c r="L11" s="3">
        <f t="shared" si="3"/>
        <v>4.1195544542772859</v>
      </c>
    </row>
    <row r="12" spans="1:12" x14ac:dyDescent="0.25">
      <c r="A12" t="s">
        <v>145</v>
      </c>
      <c r="B12" t="s">
        <v>136</v>
      </c>
      <c r="C12" t="s">
        <v>113</v>
      </c>
      <c r="D12" s="1">
        <v>61748870</v>
      </c>
      <c r="E12" s="96">
        <v>3.3000000000000002E-2</v>
      </c>
      <c r="F12" s="2">
        <v>14820381</v>
      </c>
      <c r="G12" s="96">
        <v>1.4999999999999999E-2</v>
      </c>
      <c r="H12" s="3">
        <f t="shared" si="0"/>
        <v>4.1664833043091134</v>
      </c>
      <c r="J12" s="3">
        <f t="shared" si="1"/>
        <v>61.748869999999997</v>
      </c>
      <c r="K12" s="52">
        <f t="shared" si="2"/>
        <v>14.820380999999999</v>
      </c>
      <c r="L12" s="3">
        <f t="shared" si="3"/>
        <v>4.1664833043091134</v>
      </c>
    </row>
    <row r="13" spans="1:12" x14ac:dyDescent="0.25">
      <c r="A13" t="s">
        <v>146</v>
      </c>
      <c r="B13" t="s">
        <v>137</v>
      </c>
      <c r="C13" t="s">
        <v>113</v>
      </c>
      <c r="D13" s="1">
        <v>59325801</v>
      </c>
      <c r="E13" s="96">
        <v>3.6999999999999998E-2</v>
      </c>
      <c r="F13" s="2">
        <v>14562463</v>
      </c>
      <c r="G13" s="96">
        <v>1.7999999999999999E-2</v>
      </c>
      <c r="H13" s="3">
        <f t="shared" si="0"/>
        <v>4.0738850975964711</v>
      </c>
      <c r="J13" s="3">
        <f t="shared" si="1"/>
        <v>59.325800999999998</v>
      </c>
      <c r="K13" s="52">
        <f t="shared" si="2"/>
        <v>14.562462999999999</v>
      </c>
      <c r="L13" s="3">
        <f t="shared" si="3"/>
        <v>4.0738850975964711</v>
      </c>
    </row>
    <row r="14" spans="1:12" x14ac:dyDescent="0.25">
      <c r="A14" t="s">
        <v>147</v>
      </c>
      <c r="B14" t="s">
        <v>138</v>
      </c>
      <c r="C14" t="s">
        <v>113</v>
      </c>
      <c r="D14" s="1">
        <v>61193881</v>
      </c>
      <c r="E14" s="96">
        <v>2.5999999999999999E-2</v>
      </c>
      <c r="F14" s="2">
        <v>15030428</v>
      </c>
      <c r="G14" s="96">
        <v>3.2000000000000001E-2</v>
      </c>
      <c r="H14" s="3">
        <f t="shared" si="0"/>
        <v>4.07133323149547</v>
      </c>
      <c r="J14" s="3">
        <f t="shared" si="1"/>
        <v>61.193880999999998</v>
      </c>
      <c r="K14" s="52">
        <f t="shared" si="2"/>
        <v>15.030428000000001</v>
      </c>
      <c r="L14" s="3">
        <f t="shared" si="3"/>
        <v>4.07133323149547</v>
      </c>
    </row>
    <row r="15" spans="1:12" x14ac:dyDescent="0.25">
      <c r="A15" t="s">
        <v>148</v>
      </c>
      <c r="B15" t="s">
        <v>139</v>
      </c>
      <c r="C15" t="s">
        <v>113</v>
      </c>
      <c r="D15" s="1">
        <v>62003815</v>
      </c>
      <c r="E15" s="96">
        <v>4.2999999999999997E-2</v>
      </c>
      <c r="F15" s="2">
        <v>15274432</v>
      </c>
      <c r="G15" s="96">
        <v>5.0999999999999997E-2</v>
      </c>
      <c r="H15" s="3">
        <f t="shared" si="0"/>
        <v>4.0593205037018727</v>
      </c>
      <c r="J15" s="3">
        <f t="shared" si="1"/>
        <v>62.003815000000003</v>
      </c>
      <c r="K15" s="52">
        <f t="shared" si="2"/>
        <v>15.274431999999999</v>
      </c>
      <c r="L15" s="3">
        <f t="shared" si="3"/>
        <v>4.0593205037018727</v>
      </c>
    </row>
    <row r="16" spans="1:12" x14ac:dyDescent="0.25">
      <c r="A16" t="s">
        <v>149</v>
      </c>
      <c r="B16" t="s">
        <v>140</v>
      </c>
      <c r="C16" t="s">
        <v>113</v>
      </c>
      <c r="D16" s="1">
        <v>61070810</v>
      </c>
      <c r="E16" s="96">
        <v>0.02</v>
      </c>
      <c r="F16" s="2">
        <v>15055605</v>
      </c>
      <c r="G16" s="96">
        <v>1.9E-2</v>
      </c>
      <c r="H16" s="3">
        <f t="shared" si="0"/>
        <v>4.0563504422439349</v>
      </c>
      <c r="J16" s="3">
        <f t="shared" si="1"/>
        <v>61.070810000000002</v>
      </c>
      <c r="K16" s="52">
        <f t="shared" si="2"/>
        <v>15.055605</v>
      </c>
      <c r="L16" s="3">
        <f t="shared" si="3"/>
        <v>4.0563504422439349</v>
      </c>
    </row>
    <row r="17" spans="1:12" x14ac:dyDescent="0.25">
      <c r="A17" t="s">
        <v>150</v>
      </c>
      <c r="B17" t="s">
        <v>141</v>
      </c>
      <c r="C17" t="s">
        <v>113</v>
      </c>
      <c r="D17" s="1">
        <v>68166327</v>
      </c>
      <c r="E17" s="96">
        <v>1.7999999999999999E-2</v>
      </c>
      <c r="F17" s="2">
        <v>16781212</v>
      </c>
      <c r="G17" s="96">
        <v>1.6E-2</v>
      </c>
      <c r="H17" s="3">
        <f t="shared" si="0"/>
        <v>4.0620622038503535</v>
      </c>
      <c r="J17" s="3">
        <f t="shared" si="1"/>
        <v>68.166326999999995</v>
      </c>
      <c r="K17" s="52">
        <f t="shared" si="2"/>
        <v>16.781212</v>
      </c>
      <c r="L17" s="3">
        <f t="shared" si="3"/>
        <v>4.0620622038503535</v>
      </c>
    </row>
    <row r="18" spans="1:12" x14ac:dyDescent="0.25">
      <c r="A18" t="s">
        <v>151</v>
      </c>
      <c r="B18" t="s">
        <v>142</v>
      </c>
      <c r="C18" t="s">
        <v>113</v>
      </c>
      <c r="D18" s="1">
        <v>69178468</v>
      </c>
      <c r="E18" s="96">
        <v>-1.2999999999999999E-2</v>
      </c>
      <c r="F18" s="2">
        <v>16917455</v>
      </c>
      <c r="G18" s="96">
        <v>-2.3E-2</v>
      </c>
      <c r="H18" s="3">
        <f t="shared" si="0"/>
        <v>4.0891770068251994</v>
      </c>
      <c r="J18" s="3">
        <f t="shared" si="1"/>
        <v>69.178467999999995</v>
      </c>
      <c r="K18" s="52">
        <f t="shared" si="2"/>
        <v>16.917455</v>
      </c>
      <c r="L18" s="3">
        <f t="shared" si="3"/>
        <v>4.0891770068251985</v>
      </c>
    </row>
    <row r="19" spans="1:12" x14ac:dyDescent="0.25">
      <c r="E19" s="96"/>
      <c r="G19" s="96"/>
      <c r="J19" s="1"/>
      <c r="K19" s="2"/>
      <c r="L19" s="3"/>
    </row>
    <row r="20" spans="1:12" x14ac:dyDescent="0.25">
      <c r="D20" s="1">
        <f>SUM(D6:D18)</f>
        <v>843796245</v>
      </c>
      <c r="E20" s="96"/>
      <c r="F20" s="2">
        <f>SUM(F6:F18)</f>
        <v>206518144</v>
      </c>
      <c r="G20" s="96"/>
      <c r="H20" s="3">
        <f>D20/F20</f>
        <v>4.0858213649256889</v>
      </c>
      <c r="J20" s="3">
        <f>SUM(J6:J18)</f>
        <v>843.796245</v>
      </c>
      <c r="K20" s="52">
        <f>SUM(K6:K18)</f>
        <v>206.51814400000001</v>
      </c>
      <c r="L20" s="3">
        <f>J20/K20</f>
        <v>4.0858213649256889</v>
      </c>
    </row>
    <row r="21" spans="1:12" x14ac:dyDescent="0.25">
      <c r="E21" s="96"/>
      <c r="G21" s="96"/>
    </row>
    <row r="22" spans="1:12" x14ac:dyDescent="0.25">
      <c r="D22" s="95"/>
      <c r="E22" s="98"/>
      <c r="G22" s="96"/>
    </row>
    <row r="23" spans="1:12" x14ac:dyDescent="0.25">
      <c r="D23" s="95"/>
      <c r="E23" s="98"/>
      <c r="G23" s="96"/>
    </row>
    <row r="24" spans="1:12" x14ac:dyDescent="0.25">
      <c r="D24" s="95"/>
      <c r="E24" s="98"/>
      <c r="G24" s="96"/>
    </row>
    <row r="25" spans="1:12" x14ac:dyDescent="0.25">
      <c r="D25" s="95"/>
      <c r="E25" s="98"/>
      <c r="G25" s="96"/>
    </row>
    <row r="26" spans="1:12" x14ac:dyDescent="0.25">
      <c r="D26" s="95"/>
      <c r="E26" s="98"/>
      <c r="G26" s="96"/>
    </row>
    <row r="27" spans="1:12" x14ac:dyDescent="0.25">
      <c r="D27" s="95"/>
      <c r="E27" s="98"/>
    </row>
    <row r="28" spans="1:12" x14ac:dyDescent="0.25">
      <c r="D28" s="95"/>
      <c r="E28" s="98"/>
    </row>
    <row r="29" spans="1:12" x14ac:dyDescent="0.25">
      <c r="D29" s="95"/>
      <c r="E29" s="98"/>
    </row>
    <row r="30" spans="1:12" x14ac:dyDescent="0.25">
      <c r="D30" s="95"/>
      <c r="E30" s="98"/>
    </row>
    <row r="31" spans="1:12" x14ac:dyDescent="0.25">
      <c r="D31" s="95"/>
      <c r="E31" s="98"/>
    </row>
    <row r="32" spans="1:12" x14ac:dyDescent="0.25">
      <c r="D32" s="95"/>
      <c r="E32" s="98"/>
    </row>
    <row r="33" spans="4:5" x14ac:dyDescent="0.25">
      <c r="D33" s="95"/>
      <c r="E33" s="98"/>
    </row>
    <row r="34" spans="4:5" x14ac:dyDescent="0.25">
      <c r="D34" s="95"/>
      <c r="E34" s="9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42AC1-0950-4C0A-B45B-5A7CD44A17EA}">
  <sheetPr>
    <tabColor theme="8" tint="0.59999389629810485"/>
  </sheetPr>
  <dimension ref="A1:N36"/>
  <sheetViews>
    <sheetView workbookViewId="0">
      <selection activeCell="B33" sqref="B33"/>
    </sheetView>
  </sheetViews>
  <sheetFormatPr defaultRowHeight="12.75" x14ac:dyDescent="0.2"/>
  <cols>
    <col min="1" max="1" width="15.42578125" style="4" customWidth="1"/>
    <col min="2" max="4" width="7.85546875" style="4" bestFit="1" customWidth="1"/>
    <col min="5" max="5" width="9.140625" style="4" customWidth="1"/>
    <col min="6" max="6" width="20.42578125" style="4" customWidth="1"/>
    <col min="7" max="10" width="9.140625" style="4" customWidth="1"/>
    <col min="11" max="11" width="15.42578125" style="4" customWidth="1"/>
    <col min="12" max="100" width="9.140625" style="4" customWidth="1"/>
    <col min="101" max="16384" width="9.140625" style="4"/>
  </cols>
  <sheetData>
    <row r="1" spans="1:14" ht="15" x14ac:dyDescent="0.25">
      <c r="A1" s="11" t="s">
        <v>75</v>
      </c>
      <c r="B1" s="11"/>
      <c r="C1" s="11"/>
      <c r="D1" s="11"/>
      <c r="E1" s="11"/>
      <c r="F1" s="10"/>
    </row>
    <row r="2" spans="1:14" ht="15" x14ac:dyDescent="0.25">
      <c r="A2" s="11" t="s">
        <v>76</v>
      </c>
      <c r="B2" s="11"/>
      <c r="C2" s="11"/>
      <c r="D2" s="11"/>
      <c r="E2" s="11"/>
      <c r="F2" s="10"/>
    </row>
    <row r="3" spans="1:14" ht="15" x14ac:dyDescent="0.25">
      <c r="A3" s="11" t="s">
        <v>77</v>
      </c>
      <c r="B3" s="11"/>
      <c r="C3" s="11"/>
      <c r="D3" s="11"/>
      <c r="E3" s="11"/>
      <c r="F3" s="10"/>
    </row>
    <row r="5" spans="1:14" ht="18" x14ac:dyDescent="0.25">
      <c r="A5" s="111" t="s">
        <v>79</v>
      </c>
      <c r="B5" s="111"/>
      <c r="C5" s="111"/>
      <c r="D5" s="111"/>
      <c r="F5" s="108" t="s">
        <v>79</v>
      </c>
      <c r="G5" s="109"/>
      <c r="H5" s="109"/>
      <c r="I5" s="110"/>
      <c r="J5" s="79"/>
      <c r="K5" s="108" t="s">
        <v>79</v>
      </c>
      <c r="L5" s="109"/>
      <c r="M5" s="109"/>
      <c r="N5" s="110"/>
    </row>
    <row r="6" spans="1:14" ht="18" x14ac:dyDescent="0.25">
      <c r="A6" s="111" t="s">
        <v>99</v>
      </c>
      <c r="B6" s="111"/>
      <c r="C6" s="111"/>
      <c r="D6" s="111"/>
      <c r="F6" s="60" t="s">
        <v>106</v>
      </c>
      <c r="G6" s="60"/>
      <c r="H6" s="60"/>
      <c r="I6" s="60"/>
      <c r="J6" s="79"/>
      <c r="K6" s="108" t="s">
        <v>107</v>
      </c>
      <c r="L6" s="109"/>
      <c r="M6" s="109"/>
      <c r="N6" s="110"/>
    </row>
    <row r="7" spans="1:14" ht="18" x14ac:dyDescent="0.25">
      <c r="A7" s="54"/>
      <c r="B7" s="56" t="s">
        <v>101</v>
      </c>
      <c r="C7" s="56" t="s">
        <v>102</v>
      </c>
      <c r="D7" s="56" t="s">
        <v>103</v>
      </c>
      <c r="F7" s="54"/>
      <c r="G7" s="55" t="s">
        <v>101</v>
      </c>
      <c r="H7" s="55" t="s">
        <v>102</v>
      </c>
      <c r="I7" s="56" t="s">
        <v>103</v>
      </c>
      <c r="J7" s="80"/>
      <c r="K7" s="54"/>
      <c r="L7" s="55" t="s">
        <v>101</v>
      </c>
      <c r="M7" s="55" t="s">
        <v>102</v>
      </c>
      <c r="N7" s="56" t="s">
        <v>103</v>
      </c>
    </row>
    <row r="8" spans="1:14" x14ac:dyDescent="0.2">
      <c r="A8" s="81" t="s">
        <v>86</v>
      </c>
      <c r="B8" s="24">
        <v>87.244731489999992</v>
      </c>
      <c r="C8" s="24">
        <v>90.729918060000003</v>
      </c>
      <c r="D8" s="24">
        <v>93.415811200000007</v>
      </c>
      <c r="F8" s="81" t="s">
        <v>86</v>
      </c>
      <c r="G8" s="75">
        <v>22.1057582</v>
      </c>
      <c r="H8" s="75">
        <v>22.806919910000001</v>
      </c>
      <c r="I8" s="75">
        <v>23.325482709999999</v>
      </c>
      <c r="K8" s="81" t="s">
        <v>86</v>
      </c>
      <c r="L8" s="82">
        <f>B8/G8</f>
        <v>3.9466970868250968</v>
      </c>
      <c r="M8" s="82">
        <f t="shared" ref="M8:N8" si="0">C8/H8</f>
        <v>3.9781749757545404</v>
      </c>
      <c r="N8" s="82">
        <f t="shared" si="0"/>
        <v>4.004882229509068</v>
      </c>
    </row>
    <row r="9" spans="1:14" x14ac:dyDescent="0.2">
      <c r="A9" s="26" t="s">
        <v>81</v>
      </c>
      <c r="B9" s="27">
        <v>87.244731489999992</v>
      </c>
      <c r="C9" s="27">
        <v>90.729918060000003</v>
      </c>
      <c r="D9" s="27">
        <v>93.415811200000007</v>
      </c>
      <c r="F9" s="26" t="s">
        <v>81</v>
      </c>
      <c r="G9" s="77">
        <v>22.1057582</v>
      </c>
      <c r="H9" s="77">
        <v>22.806919910000001</v>
      </c>
      <c r="I9" s="77">
        <v>23.325482709999999</v>
      </c>
      <c r="K9" s="26" t="s">
        <v>85</v>
      </c>
      <c r="L9" s="84">
        <f>AVERAGE(L8)</f>
        <v>3.9466970868250968</v>
      </c>
      <c r="M9" s="84">
        <f t="shared" ref="M9:N9" si="1">AVERAGE(M8)</f>
        <v>3.9781749757545404</v>
      </c>
      <c r="N9" s="84">
        <f t="shared" si="1"/>
        <v>4.004882229509068</v>
      </c>
    </row>
    <row r="10" spans="1:14" x14ac:dyDescent="0.2">
      <c r="A10" s="23" t="s">
        <v>87</v>
      </c>
      <c r="B10" s="28">
        <v>86.264441680000004</v>
      </c>
      <c r="C10" s="28">
        <v>89.643702489999995</v>
      </c>
      <c r="D10" s="28">
        <v>91.748288150000008</v>
      </c>
      <c r="F10" s="23" t="s">
        <v>87</v>
      </c>
      <c r="G10" s="76">
        <v>21.90623862</v>
      </c>
      <c r="H10" s="76">
        <v>22.348349690000003</v>
      </c>
      <c r="I10" s="76">
        <v>22.8849543</v>
      </c>
      <c r="K10" s="23" t="s">
        <v>87</v>
      </c>
      <c r="L10" s="83">
        <f>B10/G10</f>
        <v>3.9378938199478082</v>
      </c>
      <c r="M10" s="83">
        <f t="shared" ref="M10" si="2">C10/H10</f>
        <v>4.0112000990440908</v>
      </c>
      <c r="N10" s="83">
        <f t="shared" ref="N10" si="3">D10/I10</f>
        <v>4.0091095200482885</v>
      </c>
    </row>
    <row r="11" spans="1:14" x14ac:dyDescent="0.2">
      <c r="A11" s="26" t="s">
        <v>81</v>
      </c>
      <c r="B11" s="27">
        <v>173.50917317</v>
      </c>
      <c r="C11" s="27">
        <v>180.37362055</v>
      </c>
      <c r="D11" s="27">
        <v>185.16409935000001</v>
      </c>
      <c r="F11" s="26" t="s">
        <v>81</v>
      </c>
      <c r="G11" s="77">
        <v>44.01199682</v>
      </c>
      <c r="H11" s="77">
        <v>45.155269600000004</v>
      </c>
      <c r="I11" s="77">
        <v>46.21043701</v>
      </c>
      <c r="K11" s="26" t="s">
        <v>85</v>
      </c>
      <c r="L11" s="84">
        <f>AVERAGE(L8,L10)</f>
        <v>3.9422954533864525</v>
      </c>
      <c r="M11" s="84">
        <f t="shared" ref="M11:N11" si="4">AVERAGE(M8,M10)</f>
        <v>3.9946875373993156</v>
      </c>
      <c r="N11" s="84">
        <f t="shared" si="4"/>
        <v>4.0069958747786778</v>
      </c>
    </row>
    <row r="12" spans="1:14" x14ac:dyDescent="0.2">
      <c r="A12" s="23" t="s">
        <v>88</v>
      </c>
      <c r="B12" s="28">
        <v>84.165198219999994</v>
      </c>
      <c r="C12" s="28">
        <v>85.475150900000003</v>
      </c>
      <c r="D12" s="28">
        <v>87.06522837</v>
      </c>
      <c r="F12" s="23" t="s">
        <v>88</v>
      </c>
      <c r="G12" s="76">
        <v>21.323533250000001</v>
      </c>
      <c r="H12" s="76">
        <v>21.437930699999999</v>
      </c>
      <c r="I12" s="76">
        <v>21.937221899999997</v>
      </c>
      <c r="K12" s="23" t="s">
        <v>88</v>
      </c>
      <c r="L12" s="83">
        <f>B12/G12</f>
        <v>3.9470568612263164</v>
      </c>
      <c r="M12" s="83">
        <f t="shared" ref="M12" si="5">C12/H12</f>
        <v>3.9870989460750521</v>
      </c>
      <c r="N12" s="83">
        <f t="shared" ref="N12" si="6">D12/I12</f>
        <v>3.9688356514276775</v>
      </c>
    </row>
    <row r="13" spans="1:14" x14ac:dyDescent="0.2">
      <c r="A13" s="26" t="s">
        <v>81</v>
      </c>
      <c r="B13" s="27">
        <v>257.67437138999998</v>
      </c>
      <c r="C13" s="27">
        <v>265.84877145000002</v>
      </c>
      <c r="D13" s="27">
        <v>272.22932772000001</v>
      </c>
      <c r="F13" s="26" t="s">
        <v>81</v>
      </c>
      <c r="G13" s="77">
        <v>65.335530070000004</v>
      </c>
      <c r="H13" s="77">
        <v>66.593200300000007</v>
      </c>
      <c r="I13" s="77">
        <v>68.14765890999999</v>
      </c>
      <c r="K13" s="26" t="s">
        <v>85</v>
      </c>
      <c r="L13" s="84">
        <f>AVERAGE(L8,L10,L12)</f>
        <v>3.9438825893330738</v>
      </c>
      <c r="M13" s="84">
        <f t="shared" ref="M13:N13" si="7">AVERAGE(M8,M10,M12)</f>
        <v>3.9921580069578941</v>
      </c>
      <c r="N13" s="84">
        <f t="shared" si="7"/>
        <v>3.9942758003283445</v>
      </c>
    </row>
    <row r="14" spans="1:14" x14ac:dyDescent="0.2">
      <c r="A14" s="23" t="s">
        <v>89</v>
      </c>
      <c r="B14" s="28">
        <v>80.99849141</v>
      </c>
      <c r="C14" s="28">
        <v>84.859140490000001</v>
      </c>
      <c r="D14" s="28">
        <v>87.025583790000013</v>
      </c>
      <c r="F14" s="23" t="s">
        <v>89</v>
      </c>
      <c r="G14" s="76">
        <v>20.497487329999998</v>
      </c>
      <c r="H14" s="76">
        <v>21.089641480000001</v>
      </c>
      <c r="I14" s="76">
        <v>21.767471149999999</v>
      </c>
      <c r="K14" s="23" t="s">
        <v>89</v>
      </c>
      <c r="L14" s="83">
        <f>B14/G14</f>
        <v>3.9516302708698885</v>
      </c>
      <c r="M14" s="83">
        <f t="shared" ref="M14" si="8">C14/H14</f>
        <v>4.0237355656555236</v>
      </c>
      <c r="N14" s="83">
        <f t="shared" ref="N14" si="9">D14/I14</f>
        <v>3.9979648159542878</v>
      </c>
    </row>
    <row r="15" spans="1:14" x14ac:dyDescent="0.2">
      <c r="A15" s="26" t="s">
        <v>81</v>
      </c>
      <c r="B15" s="27">
        <v>338.67286279999996</v>
      </c>
      <c r="C15" s="27">
        <v>350.70791194000003</v>
      </c>
      <c r="D15" s="27">
        <v>359.25491151000006</v>
      </c>
      <c r="F15" s="26" t="s">
        <v>81</v>
      </c>
      <c r="G15" s="77">
        <v>85.833017400000003</v>
      </c>
      <c r="H15" s="77">
        <v>87.682841780000004</v>
      </c>
      <c r="I15" s="77">
        <v>89.915130059999996</v>
      </c>
      <c r="K15" s="26" t="s">
        <v>85</v>
      </c>
      <c r="L15" s="84">
        <f>AVERAGE(L8,L10,L12,L14)</f>
        <v>3.9458195097172775</v>
      </c>
      <c r="M15" s="84">
        <f t="shared" ref="M15:N15" si="10">AVERAGE(M8,M10,M12,M14)</f>
        <v>4.0000523966323014</v>
      </c>
      <c r="N15" s="84">
        <f t="shared" si="10"/>
        <v>3.9951980542348302</v>
      </c>
    </row>
    <row r="16" spans="1:14" x14ac:dyDescent="0.2">
      <c r="A16" s="23" t="s">
        <v>90</v>
      </c>
      <c r="B16" s="28">
        <v>80.712466230000004</v>
      </c>
      <c r="C16" s="28">
        <v>82.990610569999987</v>
      </c>
      <c r="D16" s="28">
        <v>85.185387819999988</v>
      </c>
      <c r="F16" s="23" t="s">
        <v>90</v>
      </c>
      <c r="G16" s="76">
        <v>20.301598949999999</v>
      </c>
      <c r="H16" s="76">
        <v>20.88849218</v>
      </c>
      <c r="I16" s="76">
        <v>21.435690780000002</v>
      </c>
      <c r="K16" s="23" t="s">
        <v>90</v>
      </c>
      <c r="L16" s="83">
        <f>B16/G16</f>
        <v>3.975670410433362</v>
      </c>
      <c r="M16" s="83">
        <f t="shared" ref="M16" si="11">C16/H16</f>
        <v>3.9730302146681793</v>
      </c>
      <c r="N16" s="83">
        <f t="shared" ref="N16" si="12">D16/I16</f>
        <v>3.9739977915467946</v>
      </c>
    </row>
    <row r="17" spans="1:14" x14ac:dyDescent="0.2">
      <c r="A17" s="26" t="s">
        <v>81</v>
      </c>
      <c r="B17" s="27">
        <v>419.38532902999998</v>
      </c>
      <c r="C17" s="27">
        <v>433.69852251000003</v>
      </c>
      <c r="D17" s="27">
        <v>444.44029933000002</v>
      </c>
      <c r="F17" s="26" t="s">
        <v>81</v>
      </c>
      <c r="G17" s="77">
        <v>106.13461635</v>
      </c>
      <c r="H17" s="77">
        <v>108.57133396</v>
      </c>
      <c r="I17" s="77">
        <v>111.35082084</v>
      </c>
      <c r="K17" s="26" t="s">
        <v>85</v>
      </c>
      <c r="L17" s="84">
        <f>AVERAGE(L8,L10,L12,L14,L16)</f>
        <v>3.9517896898604947</v>
      </c>
      <c r="M17" s="84">
        <f t="shared" ref="M17:N17" si="13">AVERAGE(M8,M10,M12,M14,M16)</f>
        <v>3.9946479602394769</v>
      </c>
      <c r="N17" s="84">
        <f t="shared" si="13"/>
        <v>3.9909580016972228</v>
      </c>
    </row>
    <row r="18" spans="1:14" x14ac:dyDescent="0.2">
      <c r="A18" s="23" t="s">
        <v>91</v>
      </c>
      <c r="B18" s="28">
        <v>78.771246099999999</v>
      </c>
      <c r="C18" s="28">
        <v>80.759220870000007</v>
      </c>
      <c r="D18" s="28">
        <v>82.527591520000001</v>
      </c>
      <c r="F18" s="23" t="s">
        <v>91</v>
      </c>
      <c r="G18" s="76">
        <v>19.75369774</v>
      </c>
      <c r="H18" s="76">
        <v>20.080214659999999</v>
      </c>
      <c r="I18" s="76">
        <v>20.758777769999998</v>
      </c>
      <c r="K18" s="23" t="s">
        <v>91</v>
      </c>
      <c r="L18" s="83">
        <f>B18/G18</f>
        <v>3.987670923023853</v>
      </c>
      <c r="M18" s="83">
        <f t="shared" ref="M18" si="14">C18/H18</f>
        <v>4.0218305549727633</v>
      </c>
      <c r="N18" s="83">
        <f t="shared" ref="N18" si="15">D18/I18</f>
        <v>3.9755515683233797</v>
      </c>
    </row>
    <row r="19" spans="1:14" x14ac:dyDescent="0.2">
      <c r="A19" s="26" t="s">
        <v>81</v>
      </c>
      <c r="B19" s="27">
        <v>498.15657512999996</v>
      </c>
      <c r="C19" s="27">
        <v>514.45774338000001</v>
      </c>
      <c r="D19" s="27">
        <v>526.96789085</v>
      </c>
      <c r="F19" s="26" t="s">
        <v>81</v>
      </c>
      <c r="G19" s="77">
        <v>125.88831408999999</v>
      </c>
      <c r="H19" s="77">
        <v>128.65154862</v>
      </c>
      <c r="I19" s="77">
        <v>132.10959861000001</v>
      </c>
      <c r="K19" s="26" t="s">
        <v>85</v>
      </c>
      <c r="L19" s="84">
        <f>AVERAGE(L8,L10,L12,L14,L16,L18)</f>
        <v>3.9577698953877207</v>
      </c>
      <c r="M19" s="84">
        <f t="shared" ref="M19:N19" si="16">AVERAGE(M8,M10,M12,M14,M16,M18)</f>
        <v>3.9991783926950242</v>
      </c>
      <c r="N19" s="84">
        <f t="shared" si="16"/>
        <v>3.9883902628015822</v>
      </c>
    </row>
    <row r="20" spans="1:14" x14ac:dyDescent="0.2">
      <c r="A20" s="23" t="s">
        <v>92</v>
      </c>
      <c r="B20" s="28">
        <v>76.345314500000001</v>
      </c>
      <c r="C20" s="28">
        <v>78.364125400000006</v>
      </c>
      <c r="D20" s="28">
        <v>81.911238409999996</v>
      </c>
      <c r="F20" s="23" t="s">
        <v>92</v>
      </c>
      <c r="G20" s="76">
        <v>19.069945100000002</v>
      </c>
      <c r="H20" s="76">
        <v>19.382348239999999</v>
      </c>
      <c r="I20" s="76">
        <v>20.243411429999998</v>
      </c>
      <c r="K20" s="23" t="s">
        <v>92</v>
      </c>
      <c r="L20" s="83">
        <f>B20/G20</f>
        <v>4.00343651225299</v>
      </c>
      <c r="M20" s="83">
        <f t="shared" ref="M20" si="17">C20/H20</f>
        <v>4.0430666310224135</v>
      </c>
      <c r="N20" s="83">
        <f t="shared" ref="N20" si="18">D20/I20</f>
        <v>4.0463159430040792</v>
      </c>
    </row>
    <row r="21" spans="1:14" x14ac:dyDescent="0.2">
      <c r="A21" s="26" t="s">
        <v>81</v>
      </c>
      <c r="B21" s="27">
        <v>574.50188962999994</v>
      </c>
      <c r="C21" s="27">
        <v>592.82186878000005</v>
      </c>
      <c r="D21" s="27">
        <v>608.87912926000001</v>
      </c>
      <c r="F21" s="26" t="s">
        <v>81</v>
      </c>
      <c r="G21" s="77">
        <v>144.95825919000001</v>
      </c>
      <c r="H21" s="77">
        <v>148.03389686</v>
      </c>
      <c r="I21" s="77">
        <v>152.35301004000002</v>
      </c>
      <c r="K21" s="26" t="s">
        <v>85</v>
      </c>
      <c r="L21" s="84">
        <f>AVERAGE(L8,L10,L12,L14,L16,L18,L20)</f>
        <v>3.9642936977970451</v>
      </c>
      <c r="M21" s="84">
        <f t="shared" ref="M21:N21" si="19">AVERAGE(M8,M10,M12,M14,M16,M18,M20)</f>
        <v>4.0054481410275082</v>
      </c>
      <c r="N21" s="84">
        <f t="shared" si="19"/>
        <v>3.9966653599733672</v>
      </c>
    </row>
    <row r="22" spans="1:14" x14ac:dyDescent="0.2">
      <c r="A22" s="23" t="s">
        <v>93</v>
      </c>
      <c r="B22" s="28">
        <v>75.455406659999994</v>
      </c>
      <c r="C22" s="28">
        <v>76.800417859999996</v>
      </c>
      <c r="D22" s="28">
        <v>80.891255040000004</v>
      </c>
      <c r="F22" s="23" t="s">
        <v>93</v>
      </c>
      <c r="G22" s="76">
        <v>18.914767269999999</v>
      </c>
      <c r="H22" s="76">
        <v>19.020882870000001</v>
      </c>
      <c r="I22" s="76">
        <v>19.999065909999999</v>
      </c>
      <c r="K22" s="23" t="s">
        <v>93</v>
      </c>
      <c r="L22" s="83">
        <f>B22/G22</f>
        <v>3.9892326235320366</v>
      </c>
      <c r="M22" s="83">
        <f t="shared" ref="M22" si="20">C22/H22</f>
        <v>4.0376894377037917</v>
      </c>
      <c r="N22" s="83">
        <f t="shared" ref="N22" si="21">D22/I22</f>
        <v>4.04475166010391</v>
      </c>
    </row>
    <row r="23" spans="1:14" x14ac:dyDescent="0.2">
      <c r="A23" s="26" t="s">
        <v>81</v>
      </c>
      <c r="B23" s="27">
        <v>649.95729628999993</v>
      </c>
      <c r="C23" s="27">
        <v>669.62228664000008</v>
      </c>
      <c r="D23" s="27">
        <v>689.77038430000005</v>
      </c>
      <c r="F23" s="26" t="s">
        <v>81</v>
      </c>
      <c r="G23" s="77">
        <v>163.87302646000001</v>
      </c>
      <c r="H23" s="77">
        <v>167.05477973000001</v>
      </c>
      <c r="I23" s="77">
        <v>172.35207595000003</v>
      </c>
      <c r="K23" s="26" t="s">
        <v>85</v>
      </c>
      <c r="L23" s="84">
        <f>AVERAGE(L8,L10,L12,L14,L16,L18,L20,L22)</f>
        <v>3.9674110635139188</v>
      </c>
      <c r="M23" s="84">
        <f t="shared" ref="M23:N23" si="22">AVERAGE(M8,M10,M12,M14,M16,M18,M20,M22)</f>
        <v>4.0094783031120436</v>
      </c>
      <c r="N23" s="84">
        <f t="shared" si="22"/>
        <v>4.0026761474896855</v>
      </c>
    </row>
    <row r="24" spans="1:14" x14ac:dyDescent="0.2">
      <c r="A24" s="23" t="s">
        <v>94</v>
      </c>
      <c r="B24" s="28">
        <v>76.873311959999995</v>
      </c>
      <c r="C24" s="28">
        <v>80.015933669999995</v>
      </c>
      <c r="D24" s="28">
        <v>83.927172880000001</v>
      </c>
      <c r="F24" s="23" t="s">
        <v>94</v>
      </c>
      <c r="G24" s="76">
        <v>19.292752180000001</v>
      </c>
      <c r="H24" s="76">
        <v>20.02403666</v>
      </c>
      <c r="I24" s="76">
        <v>20.464856449999999</v>
      </c>
      <c r="K24" s="23" t="s">
        <v>94</v>
      </c>
      <c r="L24" s="83">
        <f>B24/G24</f>
        <v>3.9845695027219281</v>
      </c>
      <c r="M24" s="83">
        <f t="shared" ref="M24" si="23">C24/H24</f>
        <v>3.9959941658436815</v>
      </c>
      <c r="N24" s="83">
        <f t="shared" ref="N24" si="24">D24/I24</f>
        <v>4.1010389242187921</v>
      </c>
    </row>
    <row r="25" spans="1:14" x14ac:dyDescent="0.2">
      <c r="A25" s="26" t="s">
        <v>81</v>
      </c>
      <c r="B25" s="27">
        <v>726.83060824999995</v>
      </c>
      <c r="C25" s="27">
        <v>749.63822031000007</v>
      </c>
      <c r="D25" s="27">
        <v>773.6975571800001</v>
      </c>
      <c r="F25" s="26" t="s">
        <v>81</v>
      </c>
      <c r="G25" s="77">
        <v>183.16577864000001</v>
      </c>
      <c r="H25" s="77">
        <v>187.07881639000001</v>
      </c>
      <c r="I25" s="77">
        <v>192.81693240000004</v>
      </c>
      <c r="K25" s="26" t="s">
        <v>85</v>
      </c>
      <c r="L25" s="84">
        <f>AVERAGE(L8,L10,L12,L14,L16,L18,L20,L22,L24)</f>
        <v>3.9693175567592527</v>
      </c>
      <c r="M25" s="84">
        <f t="shared" ref="M25:N25" si="25">AVERAGE(M8,M10,M12,M14,M16,M18,M20,M22,M24)</f>
        <v>4.0079800656377813</v>
      </c>
      <c r="N25" s="84">
        <f t="shared" si="25"/>
        <v>4.0136053449040308</v>
      </c>
    </row>
    <row r="26" spans="1:14" x14ac:dyDescent="0.2">
      <c r="A26" s="23" t="s">
        <v>95</v>
      </c>
      <c r="B26" s="28">
        <v>78.139133529999995</v>
      </c>
      <c r="C26" s="28">
        <v>81.547841239999997</v>
      </c>
      <c r="D26" s="28">
        <v>84.52602370999999</v>
      </c>
      <c r="F26" s="23" t="s">
        <v>95</v>
      </c>
      <c r="G26" s="76">
        <v>19.784059289999998</v>
      </c>
      <c r="H26" s="76">
        <v>20.620442180000001</v>
      </c>
      <c r="I26" s="76">
        <v>21.069795410000001</v>
      </c>
      <c r="K26" s="23" t="s">
        <v>95</v>
      </c>
      <c r="L26" s="83">
        <f>B26/G26</f>
        <v>3.9496006549826714</v>
      </c>
      <c r="M26" s="83">
        <f t="shared" ref="M26" si="26">C26/H26</f>
        <v>3.9547086589197473</v>
      </c>
      <c r="N26" s="83">
        <f t="shared" ref="N26" si="27">D26/I26</f>
        <v>4.0117154469322864</v>
      </c>
    </row>
    <row r="27" spans="1:14" x14ac:dyDescent="0.2">
      <c r="A27" s="26" t="s">
        <v>81</v>
      </c>
      <c r="B27" s="27">
        <v>804.96974177999994</v>
      </c>
      <c r="C27" s="27">
        <v>831.18606155000009</v>
      </c>
      <c r="D27" s="27">
        <v>858.22358089000011</v>
      </c>
      <c r="F27" s="26" t="s">
        <v>81</v>
      </c>
      <c r="G27" s="77">
        <v>202.94983793</v>
      </c>
      <c r="H27" s="77">
        <v>207.69925857000001</v>
      </c>
      <c r="I27" s="77">
        <v>213.88672781000005</v>
      </c>
      <c r="K27" s="26" t="s">
        <v>85</v>
      </c>
      <c r="L27" s="84">
        <f>AVERAGE(L8,L10,L12,L14,L16,L18,L20,L22,L24,L26)</f>
        <v>3.9673458665815948</v>
      </c>
      <c r="M27" s="84">
        <f t="shared" ref="M27:N27" si="28">AVERAGE(M8,M10,M12,M14,M16,M18,M20,M22,M24,M26)</f>
        <v>4.0026529249659779</v>
      </c>
      <c r="N27" s="84">
        <f t="shared" si="28"/>
        <v>4.0134163551068562</v>
      </c>
    </row>
    <row r="28" spans="1:14" x14ac:dyDescent="0.2">
      <c r="A28" s="23" t="s">
        <v>96</v>
      </c>
      <c r="B28" s="28">
        <v>79.342031730000002</v>
      </c>
      <c r="C28" s="28">
        <v>82.314808659999997</v>
      </c>
      <c r="D28" s="28">
        <v>85.904993619999999</v>
      </c>
      <c r="F28" s="23" t="s">
        <v>96</v>
      </c>
      <c r="G28" s="76">
        <v>20.125931050000002</v>
      </c>
      <c r="H28" s="76">
        <v>20.565687359999998</v>
      </c>
      <c r="I28" s="76">
        <v>21.137839100000001</v>
      </c>
      <c r="K28" s="23" t="s">
        <v>96</v>
      </c>
      <c r="L28" s="83">
        <f>B28/G28</f>
        <v>3.9422788209343484</v>
      </c>
      <c r="M28" s="83">
        <f t="shared" ref="M28" si="29">C28/H28</f>
        <v>4.0025313629974386</v>
      </c>
      <c r="N28" s="83">
        <f t="shared" ref="N28" si="30">D28/I28</f>
        <v>4.064038580935172</v>
      </c>
    </row>
    <row r="29" spans="1:14" x14ac:dyDescent="0.2">
      <c r="A29" s="26" t="s">
        <v>81</v>
      </c>
      <c r="B29" s="27">
        <v>884.31177350999997</v>
      </c>
      <c r="C29" s="27">
        <v>913.50087021000013</v>
      </c>
      <c r="D29" s="27">
        <v>944.12857451000013</v>
      </c>
      <c r="F29" s="26" t="s">
        <v>81</v>
      </c>
      <c r="G29" s="77">
        <v>223.07576897999999</v>
      </c>
      <c r="H29" s="77">
        <v>228.26494593000001</v>
      </c>
      <c r="I29" s="77">
        <v>235.02456691000006</v>
      </c>
      <c r="K29" s="26" t="s">
        <v>85</v>
      </c>
      <c r="L29" s="84">
        <f>AVERAGE(L8,L10,L12,L14,L16,L18,L20,L22,L24,L26,L28)</f>
        <v>3.9650670442500271</v>
      </c>
      <c r="M29" s="84">
        <f t="shared" ref="M29:N29" si="31">AVERAGE(M8,M10,M12,M14,M16,M18,M20,M22,M24,M26,M28)</f>
        <v>4.0026418738779288</v>
      </c>
      <c r="N29" s="84">
        <f t="shared" si="31"/>
        <v>4.0180183756367027</v>
      </c>
    </row>
    <row r="30" spans="1:14" x14ac:dyDescent="0.2">
      <c r="A30" s="23" t="s">
        <v>97</v>
      </c>
      <c r="B30" s="28">
        <v>86.969076250000001</v>
      </c>
      <c r="C30" s="28">
        <v>88.414731700000004</v>
      </c>
      <c r="D30" s="28">
        <v>94.186463230000001</v>
      </c>
      <c r="F30" s="23" t="s">
        <v>97</v>
      </c>
      <c r="G30" s="76">
        <v>21.738558050000002</v>
      </c>
      <c r="H30" s="76">
        <v>22.262428499999999</v>
      </c>
      <c r="I30" s="76">
        <v>23.221460839999999</v>
      </c>
      <c r="K30" s="23" t="s">
        <v>97</v>
      </c>
      <c r="L30" s="83">
        <f>B30/G30</f>
        <v>4.0006828442790852</v>
      </c>
      <c r="M30" s="83">
        <f t="shared" ref="M30" si="32">C30/H30</f>
        <v>3.9714774019375292</v>
      </c>
      <c r="N30" s="83">
        <f t="shared" ref="N30" si="33">D30/I30</f>
        <v>4.0560093905788923</v>
      </c>
    </row>
    <row r="31" spans="1:14" x14ac:dyDescent="0.2">
      <c r="A31" s="26" t="s">
        <v>81</v>
      </c>
      <c r="B31" s="27">
        <v>971.28084975999991</v>
      </c>
      <c r="C31" s="27">
        <v>1001.9156019100001</v>
      </c>
      <c r="D31" s="27">
        <v>1038.3150377400002</v>
      </c>
      <c r="F31" s="26" t="s">
        <v>81</v>
      </c>
      <c r="G31" s="77">
        <v>244.81432702999999</v>
      </c>
      <c r="H31" s="77">
        <v>250.52737443000001</v>
      </c>
      <c r="I31" s="77">
        <v>258.24602775000005</v>
      </c>
      <c r="K31" s="26" t="s">
        <v>85</v>
      </c>
      <c r="L31" s="84">
        <f>AVERAGE(L8,L10,L12,L14,L16,L18,L20,L22,L24,L26,L28,L30)</f>
        <v>3.9680350275857816</v>
      </c>
      <c r="M31" s="84">
        <f t="shared" ref="M31:N31" si="34">AVERAGE(M8,M10,M12,M14,M16,M18,M20,M22,M24,M26,M28,M30)</f>
        <v>4.0000448345495618</v>
      </c>
      <c r="N31" s="84">
        <f t="shared" si="34"/>
        <v>4.0211842935485516</v>
      </c>
    </row>
    <row r="32" spans="1:14" x14ac:dyDescent="0.2">
      <c r="A32" s="23" t="s">
        <v>98</v>
      </c>
      <c r="B32" s="28">
        <v>92.400855459999988</v>
      </c>
      <c r="C32" s="28">
        <v>91.899053240000001</v>
      </c>
      <c r="D32" s="28">
        <v>97.038867480000008</v>
      </c>
      <c r="F32" s="23" t="s">
        <v>98</v>
      </c>
      <c r="G32" s="76">
        <v>23.107440130000001</v>
      </c>
      <c r="H32" s="76">
        <v>22.891298559999999</v>
      </c>
      <c r="I32" s="76">
        <v>23.712438219999999</v>
      </c>
      <c r="K32" s="23" t="s">
        <v>98</v>
      </c>
      <c r="L32" s="83">
        <f>B32/G32</f>
        <v>3.9987491015950969</v>
      </c>
      <c r="M32" s="83">
        <f t="shared" ref="M32" si="35">C32/H32</f>
        <v>4.0145845374007481</v>
      </c>
      <c r="N32" s="83">
        <f t="shared" ref="N32" si="36">D32/I32</f>
        <v>4.0923192537051554</v>
      </c>
    </row>
    <row r="33" spans="1:14" x14ac:dyDescent="0.2">
      <c r="A33" s="57" t="s">
        <v>82</v>
      </c>
      <c r="B33" s="58">
        <v>1063.6817052199999</v>
      </c>
      <c r="C33" s="58">
        <v>1093.8146551500001</v>
      </c>
      <c r="D33" s="58">
        <v>1135.3539052200001</v>
      </c>
      <c r="F33" s="57" t="s">
        <v>82</v>
      </c>
      <c r="G33" s="78">
        <v>267.92176716</v>
      </c>
      <c r="H33" s="78">
        <v>273.41867299</v>
      </c>
      <c r="I33" s="78">
        <v>281.95846597000008</v>
      </c>
      <c r="K33" s="57" t="s">
        <v>85</v>
      </c>
      <c r="L33" s="85">
        <f>AVERAGE(L8,L10,L12,L14,L16,L18,L20,L22,L24,L26,L28,L30,L32)</f>
        <v>3.9703976486634214</v>
      </c>
      <c r="M33" s="85">
        <f t="shared" ref="M33:N33" si="37">AVERAGE(M8,M10,M12,M14,M16,M18,M20,M22,M24,M26,M28,M30,M32)</f>
        <v>4.0011632732304232</v>
      </c>
      <c r="N33" s="85">
        <f t="shared" si="37"/>
        <v>4.0266562135605986</v>
      </c>
    </row>
    <row r="34" spans="1:14" x14ac:dyDescent="0.2">
      <c r="A34" s="19"/>
      <c r="B34" s="19"/>
      <c r="C34" s="59">
        <f>(C33-B33)/B33</f>
        <v>2.8328916236993906E-2</v>
      </c>
      <c r="D34" s="59">
        <f t="shared" ref="D34" si="38">(D33-C33)/C33</f>
        <v>3.7976498005782802E-2</v>
      </c>
      <c r="F34" s="19"/>
      <c r="G34" s="19"/>
      <c r="H34" s="59">
        <f>(H33-G33)/G33</f>
        <v>2.0516831791115017E-2</v>
      </c>
      <c r="I34" s="59">
        <f t="shared" ref="I34" si="39">(I33-H33)/H33</f>
        <v>3.1233393413157288E-2</v>
      </c>
    </row>
    <row r="35" spans="1:14" x14ac:dyDescent="0.2">
      <c r="A35" s="40" t="s">
        <v>100</v>
      </c>
      <c r="B35" s="25"/>
      <c r="C35" s="25"/>
      <c r="D35" s="25"/>
      <c r="E35" s="25"/>
      <c r="F35" s="25"/>
      <c r="G35" s="25"/>
    </row>
    <row r="36" spans="1:14" x14ac:dyDescent="0.2">
      <c r="B36" s="61"/>
    </row>
  </sheetData>
  <mergeCells count="5">
    <mergeCell ref="K5:N5"/>
    <mergeCell ref="K6:N6"/>
    <mergeCell ref="A5:D5"/>
    <mergeCell ref="A6:D6"/>
    <mergeCell ref="F5:I5"/>
  </mergeCells>
  <pageMargins left="0.7" right="0.7" top="0.75" bottom="0.75" header="0.3" footer="0.3"/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03D51-871A-46EA-8A37-CB181FF7FFC2}">
  <sheetPr>
    <tabColor theme="8" tint="0.59999389629810485"/>
  </sheetPr>
  <dimension ref="A4:T82"/>
  <sheetViews>
    <sheetView workbookViewId="0">
      <selection activeCell="A5" sqref="A5"/>
    </sheetView>
  </sheetViews>
  <sheetFormatPr defaultRowHeight="12.75" x14ac:dyDescent="0.2"/>
  <cols>
    <col min="1" max="1" width="22.42578125" style="4" customWidth="1"/>
    <col min="2" max="2" width="12.42578125" style="4" customWidth="1"/>
    <col min="3" max="3" width="10.42578125" style="4" customWidth="1"/>
    <col min="4" max="4" width="7.28515625" style="4" customWidth="1"/>
    <col min="5" max="6" width="9.140625" style="4" customWidth="1"/>
    <col min="7" max="9" width="11.140625" style="4" bestFit="1" customWidth="1"/>
    <col min="10" max="12" width="12.140625" style="4" bestFit="1" customWidth="1"/>
    <col min="13" max="14" width="9.140625" style="4" customWidth="1"/>
    <col min="15" max="20" width="10.140625" style="4" bestFit="1" customWidth="1"/>
    <col min="21" max="100" width="9.140625" style="4" customWidth="1"/>
    <col min="101" max="16384" width="9.140625" style="4"/>
  </cols>
  <sheetData>
    <row r="4" spans="1:20" ht="15" x14ac:dyDescent="0.25">
      <c r="A4" s="103"/>
      <c r="B4" s="103"/>
    </row>
    <row r="5" spans="1:20" ht="15" x14ac:dyDescent="0.25">
      <c r="A5" s="103"/>
      <c r="B5" s="103"/>
    </row>
    <row r="7" spans="1:20" x14ac:dyDescent="0.2">
      <c r="F7" s="112" t="s">
        <v>2</v>
      </c>
      <c r="G7" s="113"/>
      <c r="H7" s="113"/>
      <c r="I7" s="113"/>
      <c r="J7" s="113"/>
      <c r="K7" s="113"/>
      <c r="L7" s="114"/>
      <c r="N7" s="112" t="s">
        <v>3</v>
      </c>
      <c r="O7" s="113"/>
      <c r="P7" s="113"/>
      <c r="Q7" s="113"/>
      <c r="R7" s="113"/>
      <c r="S7" s="113"/>
      <c r="T7" s="114"/>
    </row>
    <row r="8" spans="1:20" ht="38.25" x14ac:dyDescent="0.2">
      <c r="A8" s="9" t="s">
        <v>0</v>
      </c>
      <c r="B8" s="9" t="s">
        <v>2</v>
      </c>
      <c r="C8" s="9" t="s">
        <v>3</v>
      </c>
      <c r="D8" s="9" t="s">
        <v>4</v>
      </c>
      <c r="F8" s="62"/>
      <c r="G8" s="64">
        <v>2016</v>
      </c>
      <c r="H8" s="64">
        <v>2017</v>
      </c>
      <c r="I8" s="64">
        <v>2018</v>
      </c>
      <c r="J8" s="64">
        <v>2019</v>
      </c>
      <c r="K8" s="64">
        <v>2020</v>
      </c>
      <c r="L8" s="64">
        <v>2021</v>
      </c>
      <c r="N8" s="62"/>
      <c r="O8" s="64">
        <v>2016</v>
      </c>
      <c r="P8" s="64">
        <v>2017</v>
      </c>
      <c r="Q8" s="64">
        <v>2018</v>
      </c>
      <c r="R8" s="64">
        <v>2019</v>
      </c>
      <c r="S8" s="64">
        <v>2020</v>
      </c>
      <c r="T8" s="64">
        <v>2021</v>
      </c>
    </row>
    <row r="9" spans="1:20" x14ac:dyDescent="0.2">
      <c r="A9" s="8" t="s">
        <v>74</v>
      </c>
      <c r="B9" s="7">
        <v>96496260.605725229</v>
      </c>
      <c r="C9" s="6">
        <v>24195100.571956962</v>
      </c>
      <c r="D9" s="5">
        <v>3.98825623058447</v>
      </c>
      <c r="F9" s="62" t="s">
        <v>86</v>
      </c>
      <c r="G9" s="68">
        <f>B9/1000000</f>
        <v>96.496260605725226</v>
      </c>
      <c r="H9" s="68">
        <f>B22/1000000</f>
        <v>94.043791290341233</v>
      </c>
      <c r="I9" s="68">
        <f>B35/1000000</f>
        <v>97.583383962584747</v>
      </c>
      <c r="J9" s="68">
        <f>B48/1000000</f>
        <v>100.90311426773674</v>
      </c>
      <c r="K9" s="68">
        <f>B61/1000000</f>
        <v>102.25412826550952</v>
      </c>
      <c r="L9" s="68">
        <f>B74/1000000</f>
        <v>118.18704836647797</v>
      </c>
      <c r="N9" s="62" t="s">
        <v>86</v>
      </c>
      <c r="O9" s="69">
        <f>C9/1000000</f>
        <v>24.195100571956964</v>
      </c>
      <c r="P9" s="69">
        <f>C22/1000000</f>
        <v>23.726903035992109</v>
      </c>
      <c r="Q9" s="69">
        <f>C35/1000000</f>
        <v>24.451366510069207</v>
      </c>
      <c r="R9" s="69">
        <f>C48/1000000</f>
        <v>24.762768151360365</v>
      </c>
      <c r="S9" s="69">
        <f>C61/1000000</f>
        <v>24.445411728062069</v>
      </c>
      <c r="T9" s="69">
        <f>C74/1000000</f>
        <v>27.523821585162047</v>
      </c>
    </row>
    <row r="10" spans="1:20" x14ac:dyDescent="0.2">
      <c r="A10" s="8" t="s">
        <v>73</v>
      </c>
      <c r="B10" s="7">
        <v>91696032.089523777</v>
      </c>
      <c r="C10" s="6">
        <v>22812586.189938549</v>
      </c>
      <c r="D10" s="5">
        <v>4.0195369050250935</v>
      </c>
      <c r="F10" s="104"/>
      <c r="G10" s="105"/>
      <c r="H10" s="105"/>
      <c r="I10" s="105"/>
      <c r="J10" s="105"/>
      <c r="K10" s="105"/>
      <c r="L10" s="105"/>
      <c r="N10" s="104"/>
      <c r="O10" s="106"/>
      <c r="P10" s="106"/>
      <c r="Q10" s="106"/>
      <c r="R10" s="106"/>
      <c r="S10" s="106"/>
      <c r="T10" s="106"/>
    </row>
    <row r="11" spans="1:20" x14ac:dyDescent="0.2">
      <c r="A11" s="8" t="s">
        <v>72</v>
      </c>
      <c r="B11" s="7">
        <v>89885062.419762835</v>
      </c>
      <c r="C11" s="6">
        <v>22546875.569331247</v>
      </c>
      <c r="D11" s="5">
        <v>3.9865861743622899</v>
      </c>
      <c r="F11" s="62" t="s">
        <v>87</v>
      </c>
      <c r="G11" s="68">
        <f>B10/1000000</f>
        <v>91.696032089523783</v>
      </c>
      <c r="H11" s="68">
        <f>B23/1000000</f>
        <v>91.688986576101357</v>
      </c>
      <c r="I11" s="68">
        <f>B36/1000000</f>
        <v>94.413288685184398</v>
      </c>
      <c r="J11" s="68">
        <f>B49/1000000</f>
        <v>94.95165497716701</v>
      </c>
      <c r="K11" s="68">
        <f>B62/1000000</f>
        <v>97.335270634292641</v>
      </c>
      <c r="L11" s="68">
        <f>B75/1000000</f>
        <v>113.41887884349389</v>
      </c>
      <c r="N11" s="62" t="s">
        <v>87</v>
      </c>
      <c r="O11" s="69">
        <f>C10/1000000</f>
        <v>22.81258618993855</v>
      </c>
      <c r="P11" s="69">
        <f>C23/1000000</f>
        <v>23.193198410189868</v>
      </c>
      <c r="Q11" s="69">
        <f>C36/1000000</f>
        <v>23.318280283048804</v>
      </c>
      <c r="R11" s="69">
        <f>C49/1000000</f>
        <v>23.045778853778184</v>
      </c>
      <c r="S11" s="69">
        <f>C62/1000000</f>
        <v>23.307463491165095</v>
      </c>
      <c r="T11" s="69">
        <f>C75/1000000</f>
        <v>26.588157435114852</v>
      </c>
    </row>
    <row r="12" spans="1:20" x14ac:dyDescent="0.2">
      <c r="A12" s="8" t="s">
        <v>71</v>
      </c>
      <c r="B12" s="7">
        <v>88444788.255784899</v>
      </c>
      <c r="C12" s="6">
        <v>22207901.223473925</v>
      </c>
      <c r="D12" s="5">
        <v>3.9825820263599727</v>
      </c>
      <c r="F12" s="104"/>
      <c r="G12" s="105"/>
      <c r="H12" s="105"/>
      <c r="I12" s="105"/>
      <c r="J12" s="105"/>
      <c r="K12" s="105"/>
      <c r="L12" s="105"/>
      <c r="N12" s="104"/>
      <c r="O12" s="106"/>
      <c r="P12" s="106"/>
      <c r="Q12" s="106"/>
      <c r="R12" s="106"/>
      <c r="S12" s="106"/>
      <c r="T12" s="106"/>
    </row>
    <row r="13" spans="1:20" x14ac:dyDescent="0.2">
      <c r="A13" s="8" t="s">
        <v>70</v>
      </c>
      <c r="B13" s="7">
        <v>85929250.122271791</v>
      </c>
      <c r="C13" s="6">
        <v>21463943.976397384</v>
      </c>
      <c r="D13" s="5">
        <v>4.0034231461265017</v>
      </c>
      <c r="F13" s="62" t="s">
        <v>88</v>
      </c>
      <c r="G13" s="68">
        <f>B11/1000000</f>
        <v>89.885062419762832</v>
      </c>
      <c r="H13" s="68">
        <f>B24/1000000</f>
        <v>90.343900272463131</v>
      </c>
      <c r="I13" s="68">
        <f>B37/1000000</f>
        <v>93.089236479870664</v>
      </c>
      <c r="J13" s="68">
        <f>B50/1000000</f>
        <v>92.005682943014023</v>
      </c>
      <c r="K13" s="68">
        <f>B63/1000000</f>
        <v>109.44725624989441</v>
      </c>
      <c r="L13" s="68">
        <f>B76/1000000</f>
        <v>106.89896454766566</v>
      </c>
      <c r="N13" s="62" t="s">
        <v>88</v>
      </c>
      <c r="O13" s="69">
        <f>C11/1000000</f>
        <v>22.546875569331249</v>
      </c>
      <c r="P13" s="69">
        <f>C24/1000000</f>
        <v>22.821487863815086</v>
      </c>
      <c r="Q13" s="69">
        <f>C37/1000000</f>
        <v>23.131296496308103</v>
      </c>
      <c r="R13" s="69">
        <f>C50/1000000</f>
        <v>22.621193459817601</v>
      </c>
      <c r="S13" s="69">
        <f>C63/1000000</f>
        <v>26.040551718421284</v>
      </c>
      <c r="T13" s="69">
        <f>C76/1000000</f>
        <v>25.172164028488485</v>
      </c>
    </row>
    <row r="14" spans="1:20" x14ac:dyDescent="0.2">
      <c r="A14" s="8" t="s">
        <v>69</v>
      </c>
      <c r="B14" s="7">
        <v>83163118.451526925</v>
      </c>
      <c r="C14" s="6">
        <v>20962089.8736328</v>
      </c>
      <c r="D14" s="5">
        <v>3.9673104615458117</v>
      </c>
      <c r="F14" s="104"/>
      <c r="G14" s="105"/>
      <c r="H14" s="105"/>
      <c r="I14" s="105"/>
      <c r="J14" s="105"/>
      <c r="K14" s="105"/>
      <c r="L14" s="105"/>
      <c r="N14" s="104"/>
      <c r="O14" s="106"/>
      <c r="P14" s="106"/>
      <c r="Q14" s="106"/>
      <c r="R14" s="106"/>
      <c r="S14" s="106"/>
      <c r="T14" s="106"/>
    </row>
    <row r="15" spans="1:20" x14ac:dyDescent="0.2">
      <c r="A15" s="8" t="s">
        <v>68</v>
      </c>
      <c r="B15" s="7">
        <v>79419252.743151248</v>
      </c>
      <c r="C15" s="6">
        <v>20052813.876686923</v>
      </c>
      <c r="D15" s="5">
        <v>3.9605041582459797</v>
      </c>
      <c r="F15" s="62" t="s">
        <v>89</v>
      </c>
      <c r="G15" s="68">
        <f>B12/1000000</f>
        <v>88.4447882557849</v>
      </c>
      <c r="H15" s="68">
        <f>B25/1000000</f>
        <v>88.213039608927957</v>
      </c>
      <c r="I15" s="68">
        <f>B38/1000000</f>
        <v>91.437966853795331</v>
      </c>
      <c r="J15" s="68">
        <f>B51/1000000</f>
        <v>92.210540057769904</v>
      </c>
      <c r="K15" s="68">
        <f>B64/1000000</f>
        <v>114.32879286885704</v>
      </c>
      <c r="L15" s="68">
        <f>B77/1000000</f>
        <v>104.2682396072213</v>
      </c>
      <c r="N15" s="62" t="s">
        <v>89</v>
      </c>
      <c r="O15" s="69">
        <f>C12/1000000</f>
        <v>22.207901223473925</v>
      </c>
      <c r="P15" s="69">
        <f>C25/1000000</f>
        <v>22.291493242624341</v>
      </c>
      <c r="Q15" s="69">
        <f>C38/1000000</f>
        <v>22.801611213831197</v>
      </c>
      <c r="R15" s="69">
        <f>C51/1000000</f>
        <v>22.446912289497799</v>
      </c>
      <c r="S15" s="69">
        <f>C64/1000000</f>
        <v>26.904977504156651</v>
      </c>
      <c r="T15" s="69">
        <f>C77/1000000</f>
        <v>24.500033467928692</v>
      </c>
    </row>
    <row r="16" spans="1:20" x14ac:dyDescent="0.2">
      <c r="A16" s="8" t="s">
        <v>67</v>
      </c>
      <c r="B16" s="7">
        <v>77039769.083156884</v>
      </c>
      <c r="C16" s="6">
        <v>19578993.911199294</v>
      </c>
      <c r="D16" s="5">
        <v>3.9348175617486505</v>
      </c>
      <c r="F16" s="104"/>
      <c r="G16" s="105"/>
      <c r="H16" s="105"/>
      <c r="I16" s="105"/>
      <c r="J16" s="105"/>
      <c r="K16" s="105"/>
      <c r="L16" s="105"/>
      <c r="N16" s="104"/>
      <c r="O16" s="106"/>
      <c r="P16" s="106"/>
      <c r="Q16" s="106"/>
      <c r="R16" s="106"/>
      <c r="S16" s="106"/>
      <c r="T16" s="106"/>
    </row>
    <row r="17" spans="1:20" x14ac:dyDescent="0.2">
      <c r="A17" s="8" t="s">
        <v>66</v>
      </c>
      <c r="B17" s="7">
        <v>79023917.566841945</v>
      </c>
      <c r="C17" s="6">
        <v>19846764.860775795</v>
      </c>
      <c r="D17" s="5">
        <v>3.9817027168503958</v>
      </c>
      <c r="F17" s="62" t="s">
        <v>90</v>
      </c>
      <c r="G17" s="68">
        <f>B13/1000000</f>
        <v>85.929250122271796</v>
      </c>
      <c r="H17" s="68">
        <f>B26/1000000</f>
        <v>85.69291968622872</v>
      </c>
      <c r="I17" s="68">
        <f>B39/1000000</f>
        <v>87.633141498613497</v>
      </c>
      <c r="J17" s="68">
        <f>B52/1000000</f>
        <v>86.399253073786255</v>
      </c>
      <c r="K17" s="68">
        <f>B65/1000000</f>
        <v>119.34444317827115</v>
      </c>
      <c r="L17" s="68">
        <f>B78/1000000</f>
        <v>101.32932897011827</v>
      </c>
      <c r="N17" s="62" t="s">
        <v>90</v>
      </c>
      <c r="O17" s="69">
        <f>C13/1000000</f>
        <v>21.463943976397385</v>
      </c>
      <c r="P17" s="69">
        <f>C26/1000000</f>
        <v>21.445946535001955</v>
      </c>
      <c r="Q17" s="69">
        <f>C39/1000000</f>
        <v>21.776975611401863</v>
      </c>
      <c r="R17" s="69">
        <f>C52/1000000</f>
        <v>21.079402400894224</v>
      </c>
      <c r="S17" s="69">
        <f>C65/1000000</f>
        <v>28.16704387718363</v>
      </c>
      <c r="T17" s="69">
        <f>C78/1000000</f>
        <v>23.830756145337276</v>
      </c>
    </row>
    <row r="18" spans="1:20" x14ac:dyDescent="0.2">
      <c r="A18" s="8" t="s">
        <v>65</v>
      </c>
      <c r="B18" s="7">
        <v>79789479.959082857</v>
      </c>
      <c r="C18" s="6">
        <v>19995289.089845244</v>
      </c>
      <c r="D18" s="5">
        <v>3.990413922027491</v>
      </c>
      <c r="F18" s="104"/>
      <c r="G18" s="105"/>
      <c r="H18" s="105"/>
      <c r="I18" s="105"/>
      <c r="J18" s="105"/>
      <c r="K18" s="105"/>
      <c r="L18" s="105"/>
      <c r="N18" s="104"/>
      <c r="O18" s="106"/>
      <c r="P18" s="106"/>
      <c r="Q18" s="106"/>
      <c r="R18" s="106"/>
      <c r="S18" s="106"/>
      <c r="T18" s="106"/>
    </row>
    <row r="19" spans="1:20" x14ac:dyDescent="0.2">
      <c r="A19" s="8" t="s">
        <v>64</v>
      </c>
      <c r="B19" s="7">
        <v>81353032.927411616</v>
      </c>
      <c r="C19" s="6">
        <v>20619196.759891905</v>
      </c>
      <c r="D19" s="5">
        <v>3.9454996174078949</v>
      </c>
      <c r="F19" s="62" t="s">
        <v>91</v>
      </c>
      <c r="G19" s="68">
        <f>B14/1000000</f>
        <v>83.163118451526927</v>
      </c>
      <c r="H19" s="68">
        <f>B27/1000000</f>
        <v>83.894953953060721</v>
      </c>
      <c r="I19" s="68">
        <f>B40/1000000</f>
        <v>86.338452376139784</v>
      </c>
      <c r="J19" s="68">
        <f>B53/1000000</f>
        <v>86.202260725338718</v>
      </c>
      <c r="K19" s="68">
        <f>B66/1000000</f>
        <v>111.36725603287827</v>
      </c>
      <c r="L19" s="68">
        <f>B79/1000000</f>
        <v>97.33546758174792</v>
      </c>
      <c r="N19" s="62" t="s">
        <v>91</v>
      </c>
      <c r="O19" s="69">
        <f>C14/1000000</f>
        <v>20.962089873632799</v>
      </c>
      <c r="P19" s="69">
        <f>C27/1000000</f>
        <v>20.915613617933762</v>
      </c>
      <c r="Q19" s="69">
        <f>C40/1000000</f>
        <v>21.562212167273618</v>
      </c>
      <c r="R19" s="69">
        <f>C53/1000000</f>
        <v>20.829942390949213</v>
      </c>
      <c r="S19" s="69">
        <f>C66/1000000</f>
        <v>26.197289644185449</v>
      </c>
      <c r="T19" s="69">
        <f>C79/1000000</f>
        <v>22.699019860600899</v>
      </c>
    </row>
    <row r="20" spans="1:20" x14ac:dyDescent="0.2">
      <c r="A20" s="8" t="s">
        <v>63</v>
      </c>
      <c r="B20" s="7">
        <v>87121060.565400079</v>
      </c>
      <c r="C20" s="6">
        <v>22086850.719124258</v>
      </c>
      <c r="D20" s="5">
        <v>3.9444763616736402</v>
      </c>
      <c r="F20" s="104"/>
      <c r="G20" s="105"/>
      <c r="H20" s="105"/>
      <c r="I20" s="105"/>
      <c r="J20" s="105"/>
      <c r="K20" s="105"/>
      <c r="L20" s="105"/>
      <c r="N20" s="104"/>
      <c r="O20" s="106"/>
      <c r="P20" s="106"/>
      <c r="Q20" s="106"/>
      <c r="R20" s="106"/>
      <c r="S20" s="106"/>
      <c r="T20" s="106"/>
    </row>
    <row r="21" spans="1:20" x14ac:dyDescent="0.2">
      <c r="A21" s="8" t="s">
        <v>62</v>
      </c>
      <c r="B21" s="7">
        <v>89755052.937131107</v>
      </c>
      <c r="C21" s="6">
        <v>22590093.071466707</v>
      </c>
      <c r="D21" s="5">
        <v>3.9732042118276931</v>
      </c>
      <c r="F21" s="62" t="s">
        <v>92</v>
      </c>
      <c r="G21" s="68">
        <f>B15/1000000</f>
        <v>79.419252743151247</v>
      </c>
      <c r="H21" s="68">
        <f>B28/1000000</f>
        <v>81.603369999184309</v>
      </c>
      <c r="I21" s="68">
        <f>B41/1000000</f>
        <v>83.018376733085816</v>
      </c>
      <c r="J21" s="68">
        <f>B54/1000000</f>
        <v>83.477735647077054</v>
      </c>
      <c r="K21" s="68">
        <f>B67/1000000</f>
        <v>106.43183460054377</v>
      </c>
      <c r="L21" s="68">
        <f>B80/1000000</f>
        <v>94.039525992977531</v>
      </c>
      <c r="N21" s="62" t="s">
        <v>92</v>
      </c>
      <c r="O21" s="69">
        <f>C15/1000000</f>
        <v>20.052813876686923</v>
      </c>
      <c r="P21" s="69">
        <f>C28/1000000</f>
        <v>20.418967613135429</v>
      </c>
      <c r="Q21" s="69">
        <f>C41/1000000</f>
        <v>20.43556055483673</v>
      </c>
      <c r="R21" s="69">
        <f>C54/1000000</f>
        <v>20.094380866754278</v>
      </c>
      <c r="S21" s="69">
        <f>C67/1000000</f>
        <v>24.887607132237267</v>
      </c>
      <c r="T21" s="69">
        <f>C80/1000000</f>
        <v>21.940757387067187</v>
      </c>
    </row>
    <row r="22" spans="1:20" x14ac:dyDescent="0.2">
      <c r="A22" s="8" t="s">
        <v>61</v>
      </c>
      <c r="B22" s="7">
        <v>94043791.290341228</v>
      </c>
      <c r="C22" s="6">
        <v>23726903.035992108</v>
      </c>
      <c r="D22" s="5">
        <v>3.9635931898774635</v>
      </c>
      <c r="F22" s="104"/>
      <c r="G22" s="105"/>
      <c r="H22" s="105"/>
      <c r="I22" s="105"/>
      <c r="J22" s="105"/>
      <c r="K22" s="105"/>
      <c r="L22" s="105"/>
      <c r="N22" s="104"/>
      <c r="O22" s="106"/>
      <c r="P22" s="106"/>
      <c r="Q22" s="106"/>
      <c r="R22" s="106"/>
      <c r="S22" s="106"/>
      <c r="T22" s="106"/>
    </row>
    <row r="23" spans="1:20" x14ac:dyDescent="0.2">
      <c r="A23" s="8" t="s">
        <v>60</v>
      </c>
      <c r="B23" s="7">
        <v>91688986.576101363</v>
      </c>
      <c r="C23" s="6">
        <v>23193198.410189867</v>
      </c>
      <c r="D23" s="5">
        <v>3.9532704784613952</v>
      </c>
      <c r="F23" s="62" t="s">
        <v>93</v>
      </c>
      <c r="G23" s="68">
        <f>B16/1000000</f>
        <v>77.039769083156884</v>
      </c>
      <c r="H23" s="68">
        <f>B29/1000000</f>
        <v>80.202737512272506</v>
      </c>
      <c r="I23" s="68">
        <f>B42/1000000</f>
        <v>81.159557839317443</v>
      </c>
      <c r="J23" s="68">
        <f>B55/1000000</f>
        <v>81.62104410206814</v>
      </c>
      <c r="K23" s="68">
        <f>B68/1000000</f>
        <v>102.63762855715296</v>
      </c>
      <c r="L23" s="68">
        <f>B81/1000000</f>
        <v>91.032311925800983</v>
      </c>
      <c r="N23" s="62" t="s">
        <v>93</v>
      </c>
      <c r="O23" s="69">
        <f>C16/1000000</f>
        <v>19.578993911199294</v>
      </c>
      <c r="P23" s="69">
        <f>C29/1000000</f>
        <v>20.11326360973014</v>
      </c>
      <c r="Q23" s="69">
        <f>C42/1000000</f>
        <v>20.090601276025943</v>
      </c>
      <c r="R23" s="69">
        <f>C55/1000000</f>
        <v>19.750887307396251</v>
      </c>
      <c r="S23" s="69">
        <f>C68/1000000</f>
        <v>24.258777790810843</v>
      </c>
      <c r="T23" s="69">
        <f>C81/1000000</f>
        <v>21.225234003687916</v>
      </c>
    </row>
    <row r="24" spans="1:20" x14ac:dyDescent="0.2">
      <c r="A24" s="8" t="s">
        <v>59</v>
      </c>
      <c r="B24" s="7">
        <v>90343900.272463128</v>
      </c>
      <c r="C24" s="6">
        <v>22821487.863815088</v>
      </c>
      <c r="D24" s="5">
        <v>3.9587208691905271</v>
      </c>
      <c r="F24" s="104"/>
      <c r="G24" s="105"/>
      <c r="H24" s="105"/>
      <c r="I24" s="105"/>
      <c r="J24" s="105"/>
      <c r="K24" s="105"/>
      <c r="L24" s="105"/>
      <c r="N24" s="104"/>
      <c r="O24" s="106"/>
      <c r="P24" s="106"/>
      <c r="Q24" s="106"/>
      <c r="R24" s="106"/>
      <c r="S24" s="106"/>
      <c r="T24" s="106"/>
    </row>
    <row r="25" spans="1:20" x14ac:dyDescent="0.2">
      <c r="A25" s="8" t="s">
        <v>58</v>
      </c>
      <c r="B25" s="7">
        <v>88213039.60892795</v>
      </c>
      <c r="C25" s="6">
        <v>22291493.242624342</v>
      </c>
      <c r="D25" s="5">
        <v>3.9572512549429715</v>
      </c>
      <c r="F25" s="62" t="s">
        <v>94</v>
      </c>
      <c r="G25" s="68">
        <f>B17/1000000</f>
        <v>79.023917566841945</v>
      </c>
      <c r="H25" s="68">
        <f>B30/1000000</f>
        <v>81.63521190653266</v>
      </c>
      <c r="I25" s="68">
        <f>B43/1000000</f>
        <v>83.017839186287759</v>
      </c>
      <c r="J25" s="68">
        <f>B56/1000000</f>
        <v>83.738279075900167</v>
      </c>
      <c r="K25" s="68">
        <f>B69/1000000</f>
        <v>100.85709370273347</v>
      </c>
      <c r="L25" s="68">
        <f>B82/1000000</f>
        <v>92.967261433556374</v>
      </c>
      <c r="N25" s="62" t="s">
        <v>94</v>
      </c>
      <c r="O25" s="69">
        <f>C17/1000000</f>
        <v>19.846764860775796</v>
      </c>
      <c r="P25" s="69">
        <f>C30/1000000</f>
        <v>20.423095434993719</v>
      </c>
      <c r="Q25" s="69">
        <f>C43/1000000</f>
        <v>20.503188800036266</v>
      </c>
      <c r="R25" s="69">
        <f>C56/1000000</f>
        <v>20.137368627878157</v>
      </c>
      <c r="S25" s="69">
        <f>C69/1000000</f>
        <v>23.928075400173306</v>
      </c>
      <c r="T25" s="69">
        <f>C82/1000000</f>
        <v>21.605678024766167</v>
      </c>
    </row>
    <row r="26" spans="1:20" x14ac:dyDescent="0.2">
      <c r="A26" s="8" t="s">
        <v>57</v>
      </c>
      <c r="B26" s="7">
        <v>85692919.686228722</v>
      </c>
      <c r="C26" s="6">
        <v>21445946.535001956</v>
      </c>
      <c r="D26" s="5">
        <v>3.9957630010113658</v>
      </c>
      <c r="F26" s="104"/>
      <c r="G26" s="105"/>
      <c r="H26" s="105"/>
      <c r="I26" s="105"/>
      <c r="J26" s="105"/>
      <c r="K26" s="105"/>
      <c r="L26" s="63"/>
      <c r="N26" s="104"/>
      <c r="O26" s="106"/>
      <c r="P26" s="106"/>
      <c r="Q26" s="106"/>
      <c r="R26" s="106"/>
      <c r="S26" s="106"/>
      <c r="T26" s="65"/>
    </row>
    <row r="27" spans="1:20" x14ac:dyDescent="0.2">
      <c r="A27" s="8" t="s">
        <v>56</v>
      </c>
      <c r="B27" s="7">
        <v>83894953.953060716</v>
      </c>
      <c r="C27" s="6">
        <v>20915613.617933761</v>
      </c>
      <c r="D27" s="5">
        <v>4.0111160726896538</v>
      </c>
      <c r="F27" s="62" t="s">
        <v>95</v>
      </c>
      <c r="G27" s="68">
        <f>B18/1000000</f>
        <v>79.789479959082854</v>
      </c>
      <c r="H27" s="68">
        <f>B31/1000000</f>
        <v>82.399363534750194</v>
      </c>
      <c r="I27" s="68">
        <f>B44/1000000</f>
        <v>83.576621409502792</v>
      </c>
      <c r="J27" s="68">
        <f>B57/1000000</f>
        <v>84.185907937277648</v>
      </c>
      <c r="K27" s="68">
        <f>B70/1000000</f>
        <v>101.83698008568993</v>
      </c>
      <c r="L27" s="63"/>
      <c r="N27" s="62" t="s">
        <v>95</v>
      </c>
      <c r="O27" s="69">
        <f>C18/1000000</f>
        <v>19.995289089845244</v>
      </c>
      <c r="P27" s="69">
        <f>C31/1000000</f>
        <v>20.683941466677041</v>
      </c>
      <c r="Q27" s="69">
        <f>C44/1000000</f>
        <v>20.63241824564977</v>
      </c>
      <c r="R27" s="69">
        <f>C57/1000000</f>
        <v>20.296425969704345</v>
      </c>
      <c r="S27" s="69">
        <f>C70/1000000</f>
        <v>24.055765510912398</v>
      </c>
      <c r="T27" s="65"/>
    </row>
    <row r="28" spans="1:20" x14ac:dyDescent="0.2">
      <c r="A28" s="8" t="s">
        <v>55</v>
      </c>
      <c r="B28" s="7">
        <v>81603369.99918431</v>
      </c>
      <c r="C28" s="6">
        <v>20418967.613135427</v>
      </c>
      <c r="D28" s="5">
        <v>3.996449357541918</v>
      </c>
      <c r="F28" s="104"/>
      <c r="G28" s="105"/>
      <c r="H28" s="105"/>
      <c r="I28" s="105"/>
      <c r="J28" s="105"/>
      <c r="K28" s="105"/>
      <c r="L28" s="63"/>
      <c r="N28" s="104"/>
      <c r="O28" s="106"/>
      <c r="P28" s="106"/>
      <c r="Q28" s="106"/>
      <c r="R28" s="106"/>
      <c r="S28" s="106"/>
      <c r="T28" s="65"/>
    </row>
    <row r="29" spans="1:20" x14ac:dyDescent="0.2">
      <c r="A29" s="8" t="s">
        <v>54</v>
      </c>
      <c r="B29" s="7">
        <v>80202737.512272507</v>
      </c>
      <c r="C29" s="6">
        <v>20113263.609730139</v>
      </c>
      <c r="D29" s="5">
        <v>3.9875546340213552</v>
      </c>
      <c r="F29" s="62" t="s">
        <v>96</v>
      </c>
      <c r="G29" s="68">
        <f>B19/1000000</f>
        <v>81.353032927411618</v>
      </c>
      <c r="H29" s="68">
        <f>B32/1000000</f>
        <v>83.553900731171495</v>
      </c>
      <c r="I29" s="68">
        <f>B45/1000000</f>
        <v>85.055096719256966</v>
      </c>
      <c r="J29" s="68">
        <f>B58/1000000</f>
        <v>85.333188233507755</v>
      </c>
      <c r="K29" s="68">
        <f>B71/1000000</f>
        <v>102.4260788470425</v>
      </c>
      <c r="L29" s="63"/>
      <c r="N29" s="62" t="s">
        <v>96</v>
      </c>
      <c r="O29" s="69">
        <f>C19/1000000</f>
        <v>20.619196759891906</v>
      </c>
      <c r="P29" s="69">
        <f>C32/1000000</f>
        <v>20.952403249129926</v>
      </c>
      <c r="Q29" s="69">
        <f>C45/1000000</f>
        <v>21.049443277752349</v>
      </c>
      <c r="R29" s="69">
        <f>C58/1000000</f>
        <v>20.482215158242369</v>
      </c>
      <c r="S29" s="69">
        <f>C71/1000000</f>
        <v>24.176903494165163</v>
      </c>
      <c r="T29" s="65"/>
    </row>
    <row r="30" spans="1:20" x14ac:dyDescent="0.2">
      <c r="A30" s="8" t="s">
        <v>53</v>
      </c>
      <c r="B30" s="7">
        <v>81635211.90653266</v>
      </c>
      <c r="C30" s="6">
        <v>20423095.434993718</v>
      </c>
      <c r="D30" s="5">
        <v>3.9972007263235789</v>
      </c>
      <c r="F30" s="104"/>
      <c r="G30" s="105"/>
      <c r="H30" s="105"/>
      <c r="I30" s="105"/>
      <c r="J30" s="105"/>
      <c r="K30" s="105"/>
      <c r="L30" s="63"/>
      <c r="N30" s="104"/>
      <c r="O30" s="106"/>
      <c r="P30" s="106"/>
      <c r="Q30" s="106"/>
      <c r="R30" s="106"/>
      <c r="S30" s="106"/>
      <c r="T30" s="65"/>
    </row>
    <row r="31" spans="1:20" x14ac:dyDescent="0.2">
      <c r="A31" s="8" t="s">
        <v>52</v>
      </c>
      <c r="B31" s="7">
        <v>82399363.534750193</v>
      </c>
      <c r="C31" s="6">
        <v>20683941.46667704</v>
      </c>
      <c r="D31" s="5">
        <v>3.9837360624666278</v>
      </c>
      <c r="F31" s="62" t="s">
        <v>97</v>
      </c>
      <c r="G31" s="68">
        <f>B20/1000000</f>
        <v>87.121060565400086</v>
      </c>
      <c r="H31" s="68">
        <f>B33/1000000</f>
        <v>91.083719189065974</v>
      </c>
      <c r="I31" s="68">
        <f>B46/1000000</f>
        <v>93.39733098294073</v>
      </c>
      <c r="J31" s="68">
        <f>B59/1000000</f>
        <v>95.545918000006139</v>
      </c>
      <c r="K31" s="68">
        <f>B72/1000000</f>
        <v>109.6338635643758</v>
      </c>
      <c r="L31" s="63"/>
      <c r="N31" s="62" t="s">
        <v>97</v>
      </c>
      <c r="O31" s="69">
        <f>C20/1000000</f>
        <v>22.086850719124257</v>
      </c>
      <c r="P31" s="69">
        <f>C33/1000000</f>
        <v>22.777613839382287</v>
      </c>
      <c r="Q31" s="69">
        <f>C46/1000000</f>
        <v>22.97524854172698</v>
      </c>
      <c r="R31" s="69">
        <f>C59/1000000</f>
        <v>22.959284270709851</v>
      </c>
      <c r="S31" s="69">
        <f>C72/1000000</f>
        <v>25.765895189287953</v>
      </c>
      <c r="T31" s="65"/>
    </row>
    <row r="32" spans="1:20" x14ac:dyDescent="0.2">
      <c r="A32" s="8" t="s">
        <v>51</v>
      </c>
      <c r="B32" s="7">
        <v>83553900.731171489</v>
      </c>
      <c r="C32" s="6">
        <v>20952403.249129925</v>
      </c>
      <c r="D32" s="5">
        <v>3.9877955639595268</v>
      </c>
      <c r="F32" s="104"/>
      <c r="G32" s="105"/>
      <c r="H32" s="105"/>
      <c r="I32" s="105"/>
      <c r="J32" s="105"/>
      <c r="K32" s="105"/>
      <c r="L32" s="63"/>
      <c r="N32" s="104"/>
      <c r="O32" s="106"/>
      <c r="P32" s="106"/>
      <c r="Q32" s="106"/>
      <c r="R32" s="106"/>
      <c r="S32" s="106"/>
      <c r="T32" s="65"/>
    </row>
    <row r="33" spans="1:20" x14ac:dyDescent="0.2">
      <c r="A33" s="8" t="s">
        <v>50</v>
      </c>
      <c r="B33" s="7">
        <v>91083719.189065978</v>
      </c>
      <c r="C33" s="6">
        <v>22777613.839382287</v>
      </c>
      <c r="D33" s="5">
        <v>3.9988262085461761</v>
      </c>
      <c r="F33" s="62" t="s">
        <v>98</v>
      </c>
      <c r="G33" s="68">
        <f>B21/1000000</f>
        <v>89.755052937131111</v>
      </c>
      <c r="H33" s="68">
        <f>B34/1000000</f>
        <v>92.948771931990748</v>
      </c>
      <c r="I33" s="68">
        <f>B47/1000000</f>
        <v>93.386555569162113</v>
      </c>
      <c r="J33" s="68">
        <f>B60/1000000</f>
        <v>93.47530751531545</v>
      </c>
      <c r="K33" s="68">
        <f>B73/1000000</f>
        <v>110.64607784386017</v>
      </c>
      <c r="L33" s="63"/>
      <c r="N33" s="62" t="s">
        <v>98</v>
      </c>
      <c r="O33" s="69">
        <f>C21/1000000</f>
        <v>22.590093071466708</v>
      </c>
      <c r="P33" s="69">
        <f>C34/1000000</f>
        <v>23.411129037866086</v>
      </c>
      <c r="Q33" s="69">
        <f>C47/1000000</f>
        <v>23.01321511709418</v>
      </c>
      <c r="R33" s="69">
        <f>C60/1000000</f>
        <v>22.576466945244203</v>
      </c>
      <c r="S33" s="69">
        <f>C73/1000000</f>
        <v>25.960330617189381</v>
      </c>
      <c r="T33" s="65"/>
    </row>
    <row r="34" spans="1:20" x14ac:dyDescent="0.2">
      <c r="A34" s="8" t="s">
        <v>49</v>
      </c>
      <c r="B34" s="7">
        <v>92948771.931990743</v>
      </c>
      <c r="C34" s="6">
        <v>23411129.037866086</v>
      </c>
      <c r="D34" s="5">
        <v>3.9702814751758329</v>
      </c>
      <c r="F34" s="4" t="s">
        <v>105</v>
      </c>
      <c r="G34" s="70">
        <f t="shared" ref="G34:L34" si="0">SUM(G9:G33)</f>
        <v>1109.1160777267712</v>
      </c>
      <c r="H34" s="70">
        <f t="shared" si="0"/>
        <v>1127.304666192091</v>
      </c>
      <c r="I34" s="70">
        <f t="shared" si="0"/>
        <v>1153.1068482957419</v>
      </c>
      <c r="J34" s="70">
        <f t="shared" si="0"/>
        <v>1160.049886555965</v>
      </c>
      <c r="K34" s="70">
        <f t="shared" si="0"/>
        <v>1388.5467044311017</v>
      </c>
      <c r="L34" s="70">
        <f t="shared" si="0"/>
        <v>919.47702726905982</v>
      </c>
      <c r="N34" s="4" t="s">
        <v>105</v>
      </c>
      <c r="O34" s="71">
        <f t="shared" ref="O34:T34" si="1">SUM(O9:O33)</f>
        <v>278.95849969372097</v>
      </c>
      <c r="P34" s="71">
        <f t="shared" si="1"/>
        <v>283.17505695647179</v>
      </c>
      <c r="Q34" s="71">
        <f t="shared" si="1"/>
        <v>285.74141809505505</v>
      </c>
      <c r="R34" s="71">
        <f t="shared" si="1"/>
        <v>281.08302669222684</v>
      </c>
      <c r="S34" s="71">
        <f t="shared" si="1"/>
        <v>328.09609309795047</v>
      </c>
      <c r="T34" s="71">
        <f t="shared" si="1"/>
        <v>215.08562193815351</v>
      </c>
    </row>
    <row r="35" spans="1:20" x14ac:dyDescent="0.2">
      <c r="A35" s="8" t="s">
        <v>48</v>
      </c>
      <c r="B35" s="7">
        <v>97583383.962584749</v>
      </c>
      <c r="C35" s="6">
        <v>24451366.510069206</v>
      </c>
      <c r="D35" s="5">
        <v>3.9909173960645257</v>
      </c>
      <c r="G35" s="70"/>
      <c r="H35" s="70"/>
      <c r="I35" s="70"/>
      <c r="J35" s="70"/>
      <c r="K35" s="70"/>
      <c r="L35" s="70"/>
    </row>
    <row r="36" spans="1:20" x14ac:dyDescent="0.2">
      <c r="A36" s="8" t="s">
        <v>47</v>
      </c>
      <c r="B36" s="7">
        <v>94413288.685184404</v>
      </c>
      <c r="C36" s="6">
        <v>23318280.283048805</v>
      </c>
      <c r="D36" s="5">
        <v>4.0488958679263334</v>
      </c>
    </row>
    <row r="37" spans="1:20" x14ac:dyDescent="0.2">
      <c r="A37" s="8" t="s">
        <v>46</v>
      </c>
      <c r="B37" s="7">
        <v>93089236.479870662</v>
      </c>
      <c r="C37" s="6">
        <v>23131296.496308103</v>
      </c>
      <c r="D37" s="5">
        <v>4.024384733243477</v>
      </c>
      <c r="F37" s="112" t="s">
        <v>104</v>
      </c>
      <c r="G37" s="113"/>
      <c r="H37" s="113"/>
      <c r="I37" s="113"/>
      <c r="J37" s="113"/>
      <c r="K37" s="113"/>
      <c r="L37" s="114"/>
    </row>
    <row r="38" spans="1:20" x14ac:dyDescent="0.2">
      <c r="A38" s="8" t="s">
        <v>45</v>
      </c>
      <c r="B38" s="7">
        <v>91437966.853795335</v>
      </c>
      <c r="C38" s="6">
        <v>22801611.213831197</v>
      </c>
      <c r="D38" s="5">
        <v>4.0101537560788731</v>
      </c>
      <c r="F38" s="62"/>
      <c r="G38" s="64">
        <v>2016</v>
      </c>
      <c r="H38" s="64">
        <v>2017</v>
      </c>
      <c r="I38" s="64">
        <v>2018</v>
      </c>
      <c r="J38" s="64">
        <v>2019</v>
      </c>
      <c r="K38" s="64">
        <v>2020</v>
      </c>
      <c r="L38" s="64">
        <v>2021</v>
      </c>
    </row>
    <row r="39" spans="1:20" x14ac:dyDescent="0.2">
      <c r="A39" s="8" t="s">
        <v>44</v>
      </c>
      <c r="B39" s="7">
        <v>87633141.498613492</v>
      </c>
      <c r="C39" s="6">
        <v>21776975.611401863</v>
      </c>
      <c r="D39" s="5">
        <v>4.0241190081845453</v>
      </c>
      <c r="F39" s="62" t="s">
        <v>86</v>
      </c>
      <c r="G39" s="67">
        <f>D9</f>
        <v>3.98825623058447</v>
      </c>
      <c r="H39" s="67">
        <f>D22</f>
        <v>3.9635931898774635</v>
      </c>
      <c r="I39" s="67">
        <f>D35</f>
        <v>3.9909173960645257</v>
      </c>
      <c r="J39" s="67">
        <f>D48</f>
        <v>4.074791382408252</v>
      </c>
      <c r="K39" s="67">
        <f>D61</f>
        <v>4.1829579064985456</v>
      </c>
      <c r="L39" s="67">
        <f>D74</f>
        <v>4.2939912250481962</v>
      </c>
    </row>
    <row r="40" spans="1:20" x14ac:dyDescent="0.2">
      <c r="A40" s="8" t="s">
        <v>43</v>
      </c>
      <c r="B40" s="7">
        <v>86338452.37613979</v>
      </c>
      <c r="C40" s="6">
        <v>21562212.167273618</v>
      </c>
      <c r="D40" s="5">
        <v>4.00415558971177</v>
      </c>
      <c r="F40" s="104"/>
      <c r="G40" s="107"/>
      <c r="H40" s="107"/>
      <c r="I40" s="107"/>
      <c r="J40" s="107"/>
      <c r="K40" s="107"/>
      <c r="L40" s="107"/>
    </row>
    <row r="41" spans="1:20" x14ac:dyDescent="0.2">
      <c r="A41" s="8" t="s">
        <v>42</v>
      </c>
      <c r="B41" s="7">
        <v>83018376.733085811</v>
      </c>
      <c r="C41" s="6">
        <v>20435560.554836731</v>
      </c>
      <c r="D41" s="5">
        <v>4.0624467584490533</v>
      </c>
      <c r="F41" s="62" t="s">
        <v>87</v>
      </c>
      <c r="G41" s="67">
        <f>D10</f>
        <v>4.0195369050250935</v>
      </c>
      <c r="H41" s="67">
        <f>D23</f>
        <v>3.9532704784613952</v>
      </c>
      <c r="I41" s="67">
        <f>D36</f>
        <v>4.0488958679263334</v>
      </c>
      <c r="J41" s="67">
        <f>D49</f>
        <v>4.1201321760318983</v>
      </c>
      <c r="K41" s="67">
        <f>D62</f>
        <v>4.1761417183465062</v>
      </c>
      <c r="L41" s="67">
        <f>D75</f>
        <v>4.2657667843391849</v>
      </c>
    </row>
    <row r="42" spans="1:20" x14ac:dyDescent="0.2">
      <c r="A42" s="8" t="s">
        <v>41</v>
      </c>
      <c r="B42" s="7">
        <v>81159557.839317441</v>
      </c>
      <c r="C42" s="6">
        <v>20090601.276025943</v>
      </c>
      <c r="D42" s="5">
        <v>4.0396778933722066</v>
      </c>
      <c r="F42" s="104"/>
      <c r="G42" s="107"/>
      <c r="H42" s="107"/>
      <c r="I42" s="107"/>
      <c r="J42" s="107"/>
      <c r="K42" s="107"/>
      <c r="L42" s="107"/>
    </row>
    <row r="43" spans="1:20" x14ac:dyDescent="0.2">
      <c r="A43" s="8" t="s">
        <v>40</v>
      </c>
      <c r="B43" s="7">
        <v>83017839.186287761</v>
      </c>
      <c r="C43" s="6">
        <v>20503188.800036266</v>
      </c>
      <c r="D43" s="5">
        <v>4.0490208618739789</v>
      </c>
      <c r="F43" s="62" t="s">
        <v>88</v>
      </c>
      <c r="G43" s="67">
        <f>D11</f>
        <v>3.9865861743622899</v>
      </c>
      <c r="H43" s="67">
        <f>D24</f>
        <v>3.9587208691905271</v>
      </c>
      <c r="I43" s="67">
        <f>D37</f>
        <v>4.024384733243477</v>
      </c>
      <c r="J43" s="67">
        <f>D50</f>
        <v>4.0672338135671415</v>
      </c>
      <c r="K43" s="67">
        <f>D63</f>
        <v>4.2029545853466148</v>
      </c>
      <c r="L43" s="67">
        <f>D76</f>
        <v>4.2467133309112093</v>
      </c>
    </row>
    <row r="44" spans="1:20" x14ac:dyDescent="0.2">
      <c r="A44" s="8" t="s">
        <v>39</v>
      </c>
      <c r="B44" s="7">
        <v>83576621.409502789</v>
      </c>
      <c r="C44" s="6">
        <v>20632418.24564977</v>
      </c>
      <c r="D44" s="5">
        <v>4.0507428850287317</v>
      </c>
      <c r="F44" s="104"/>
      <c r="G44" s="107"/>
      <c r="H44" s="107"/>
      <c r="I44" s="107"/>
      <c r="J44" s="107"/>
      <c r="K44" s="107"/>
      <c r="L44" s="107"/>
    </row>
    <row r="45" spans="1:20" x14ac:dyDescent="0.2">
      <c r="A45" s="8" t="s">
        <v>38</v>
      </c>
      <c r="B45" s="7">
        <v>85055096.719256967</v>
      </c>
      <c r="C45" s="6">
        <v>21049443.277752351</v>
      </c>
      <c r="D45" s="5">
        <v>4.0407290395729225</v>
      </c>
      <c r="F45" s="62" t="s">
        <v>89</v>
      </c>
      <c r="G45" s="67">
        <f>D12</f>
        <v>3.9825820263599727</v>
      </c>
      <c r="H45" s="67">
        <f>D25</f>
        <v>3.9572512549429715</v>
      </c>
      <c r="I45" s="67">
        <f>D38</f>
        <v>4.0101537560788731</v>
      </c>
      <c r="J45" s="67">
        <f>D51</f>
        <v>4.1079387164047638</v>
      </c>
      <c r="K45" s="67">
        <f>D64</f>
        <v>4.2493547095957966</v>
      </c>
      <c r="L45" s="67">
        <f>D77</f>
        <v>4.2558407009407428</v>
      </c>
    </row>
    <row r="46" spans="1:20" x14ac:dyDescent="0.2">
      <c r="A46" s="8" t="s">
        <v>37</v>
      </c>
      <c r="B46" s="7">
        <v>93397330.982940733</v>
      </c>
      <c r="C46" s="6">
        <v>22975248.54172698</v>
      </c>
      <c r="D46" s="5">
        <v>4.0651282101830244</v>
      </c>
      <c r="F46" s="104"/>
      <c r="G46" s="107"/>
      <c r="H46" s="107"/>
      <c r="I46" s="107"/>
      <c r="J46" s="107"/>
      <c r="K46" s="107"/>
      <c r="L46" s="107"/>
    </row>
    <row r="47" spans="1:20" x14ac:dyDescent="0.2">
      <c r="A47" s="8" t="s">
        <v>36</v>
      </c>
      <c r="B47" s="7">
        <v>93386555.569162115</v>
      </c>
      <c r="C47" s="6">
        <v>23013215.117094181</v>
      </c>
      <c r="D47" s="5">
        <v>4.057953445183534</v>
      </c>
      <c r="F47" s="62" t="s">
        <v>90</v>
      </c>
      <c r="G47" s="67">
        <f>D13</f>
        <v>4.0034231461265017</v>
      </c>
      <c r="H47" s="67">
        <f>D26</f>
        <v>3.9957630010113658</v>
      </c>
      <c r="I47" s="67">
        <f>D39</f>
        <v>4.0241190081845453</v>
      </c>
      <c r="J47" s="67">
        <f>D52</f>
        <v>4.0987524897822079</v>
      </c>
      <c r="K47" s="67">
        <f>D65</f>
        <v>4.2370240802920982</v>
      </c>
      <c r="L47" s="67">
        <f>D78</f>
        <v>4.2520400255929083</v>
      </c>
    </row>
    <row r="48" spans="1:20" x14ac:dyDescent="0.2">
      <c r="A48" s="8" t="s">
        <v>35</v>
      </c>
      <c r="B48" s="7">
        <v>100903114.26773673</v>
      </c>
      <c r="C48" s="6">
        <v>24762768.151360366</v>
      </c>
      <c r="D48" s="5">
        <v>4.074791382408252</v>
      </c>
      <c r="F48" s="104"/>
      <c r="G48" s="107"/>
      <c r="H48" s="107"/>
      <c r="I48" s="107"/>
      <c r="J48" s="107"/>
      <c r="K48" s="107"/>
      <c r="L48" s="107"/>
    </row>
    <row r="49" spans="1:12" x14ac:dyDescent="0.2">
      <c r="A49" s="8" t="s">
        <v>34</v>
      </c>
      <c r="B49" s="7">
        <v>94951654.97716701</v>
      </c>
      <c r="C49" s="6">
        <v>23045778.853778183</v>
      </c>
      <c r="D49" s="5">
        <v>4.1201321760318983</v>
      </c>
      <c r="F49" s="62" t="s">
        <v>91</v>
      </c>
      <c r="G49" s="67">
        <f>D14</f>
        <v>3.9673104615458117</v>
      </c>
      <c r="H49" s="67">
        <f>D27</f>
        <v>4.0111160726896538</v>
      </c>
      <c r="I49" s="67">
        <f>D40</f>
        <v>4.00415558971177</v>
      </c>
      <c r="J49" s="67">
        <f>D53</f>
        <v>4.1383820995488847</v>
      </c>
      <c r="K49" s="67">
        <f>D66</f>
        <v>4.2510983977915631</v>
      </c>
      <c r="L49" s="67">
        <f>D79</f>
        <v>4.288091211845444</v>
      </c>
    </row>
    <row r="50" spans="1:12" x14ac:dyDescent="0.2">
      <c r="A50" s="8" t="s">
        <v>33</v>
      </c>
      <c r="B50" s="7">
        <v>92005682.943014026</v>
      </c>
      <c r="C50" s="6">
        <v>22621193.4598176</v>
      </c>
      <c r="D50" s="5">
        <v>4.0672338135671415</v>
      </c>
      <c r="F50" s="104"/>
      <c r="G50" s="107"/>
      <c r="H50" s="107"/>
      <c r="I50" s="107"/>
      <c r="J50" s="107"/>
      <c r="K50" s="107"/>
      <c r="L50" s="107"/>
    </row>
    <row r="51" spans="1:12" x14ac:dyDescent="0.2">
      <c r="A51" s="8" t="s">
        <v>32</v>
      </c>
      <c r="B51" s="7">
        <v>92210540.05776991</v>
      </c>
      <c r="C51" s="6">
        <v>22446912.2894978</v>
      </c>
      <c r="D51" s="5">
        <v>4.1079387164047638</v>
      </c>
      <c r="F51" s="62" t="s">
        <v>92</v>
      </c>
      <c r="G51" s="67">
        <f>D15</f>
        <v>3.9605041582459797</v>
      </c>
      <c r="H51" s="67">
        <f>D28</f>
        <v>3.996449357541918</v>
      </c>
      <c r="I51" s="67">
        <f>D41</f>
        <v>4.0624467584490533</v>
      </c>
      <c r="J51" s="67">
        <f>D54</f>
        <v>4.1542825429963441</v>
      </c>
      <c r="K51" s="67">
        <f>D67</f>
        <v>4.2764993048560749</v>
      </c>
      <c r="L51" s="67">
        <f>D80</f>
        <v>4.2860656236237507</v>
      </c>
    </row>
    <row r="52" spans="1:12" x14ac:dyDescent="0.2">
      <c r="A52" s="8" t="s">
        <v>31</v>
      </c>
      <c r="B52" s="7">
        <v>86399253.073786259</v>
      </c>
      <c r="C52" s="6">
        <v>21079402.400894225</v>
      </c>
      <c r="D52" s="5">
        <v>4.0987524897822079</v>
      </c>
      <c r="F52" s="104"/>
      <c r="G52" s="107"/>
      <c r="H52" s="107"/>
      <c r="I52" s="107"/>
      <c r="J52" s="107"/>
      <c r="K52" s="107"/>
      <c r="L52" s="107"/>
    </row>
    <row r="53" spans="1:12" x14ac:dyDescent="0.2">
      <c r="A53" s="8" t="s">
        <v>30</v>
      </c>
      <c r="B53" s="7">
        <v>86202260.725338712</v>
      </c>
      <c r="C53" s="6">
        <v>20829942.390949212</v>
      </c>
      <c r="D53" s="5">
        <v>4.1383820995488847</v>
      </c>
      <c r="F53" s="62" t="s">
        <v>93</v>
      </c>
      <c r="G53" s="67">
        <f>D16</f>
        <v>3.9348175617486505</v>
      </c>
      <c r="H53" s="67">
        <f>D29</f>
        <v>3.9875546340213552</v>
      </c>
      <c r="I53" s="67">
        <f>D42</f>
        <v>4.0396778933722066</v>
      </c>
      <c r="J53" s="67">
        <f>D55</f>
        <v>4.1325254319841589</v>
      </c>
      <c r="K53" s="67">
        <f>D68</f>
        <v>4.2309480486701112</v>
      </c>
      <c r="L53" s="67">
        <f>D81</f>
        <v>4.2888720053679492</v>
      </c>
    </row>
    <row r="54" spans="1:12" x14ac:dyDescent="0.2">
      <c r="A54" s="8" t="s">
        <v>29</v>
      </c>
      <c r="B54" s="7">
        <v>83477735.647077054</v>
      </c>
      <c r="C54" s="6">
        <v>20094380.866754279</v>
      </c>
      <c r="D54" s="5">
        <v>4.1542825429963441</v>
      </c>
      <c r="F54" s="104"/>
      <c r="G54" s="107"/>
      <c r="H54" s="107"/>
      <c r="I54" s="107"/>
      <c r="J54" s="107"/>
      <c r="K54" s="107"/>
      <c r="L54" s="107"/>
    </row>
    <row r="55" spans="1:12" x14ac:dyDescent="0.2">
      <c r="A55" s="8" t="s">
        <v>28</v>
      </c>
      <c r="B55" s="7">
        <v>81621044.102068141</v>
      </c>
      <c r="C55" s="6">
        <v>19750887.307396252</v>
      </c>
      <c r="D55" s="5">
        <v>4.1325254319841589</v>
      </c>
      <c r="F55" s="62" t="s">
        <v>94</v>
      </c>
      <c r="G55" s="67">
        <f>D17</f>
        <v>3.9817027168503958</v>
      </c>
      <c r="H55" s="67">
        <f>D30</f>
        <v>3.9972007263235789</v>
      </c>
      <c r="I55" s="67">
        <f>D43</f>
        <v>4.0490208618739789</v>
      </c>
      <c r="J55" s="67">
        <f>D56</f>
        <v>4.158352594289453</v>
      </c>
      <c r="K55" s="67">
        <f>D69</f>
        <v>4.2150106941740493</v>
      </c>
      <c r="L55" s="67">
        <f>D82</f>
        <v>4.302908769027745</v>
      </c>
    </row>
    <row r="56" spans="1:12" x14ac:dyDescent="0.2">
      <c r="A56" s="8" t="s">
        <v>27</v>
      </c>
      <c r="B56" s="7">
        <v>83738279.075900167</v>
      </c>
      <c r="C56" s="6">
        <v>20137368.627878156</v>
      </c>
      <c r="D56" s="5">
        <v>4.158352594289453</v>
      </c>
      <c r="F56" s="104"/>
      <c r="G56" s="107"/>
      <c r="H56" s="107"/>
      <c r="I56" s="107"/>
      <c r="J56" s="107"/>
      <c r="K56" s="107"/>
      <c r="L56" s="66"/>
    </row>
    <row r="57" spans="1:12" x14ac:dyDescent="0.2">
      <c r="A57" s="8" t="s">
        <v>26</v>
      </c>
      <c r="B57" s="7">
        <v>84185907.937277645</v>
      </c>
      <c r="C57" s="6">
        <v>20296425.969704345</v>
      </c>
      <c r="D57" s="5">
        <v>4.1478193285329423</v>
      </c>
      <c r="F57" s="62" t="s">
        <v>95</v>
      </c>
      <c r="G57" s="67">
        <f>D18</f>
        <v>3.990413922027491</v>
      </c>
      <c r="H57" s="67">
        <f>D31</f>
        <v>3.9837360624666278</v>
      </c>
      <c r="I57" s="67">
        <f>D44</f>
        <v>4.0507428850287317</v>
      </c>
      <c r="J57" s="67">
        <f>D57</f>
        <v>4.1478193285329423</v>
      </c>
      <c r="K57" s="67">
        <f>D70</f>
        <v>4.2333709995424469</v>
      </c>
      <c r="L57" s="66"/>
    </row>
    <row r="58" spans="1:12" x14ac:dyDescent="0.2">
      <c r="A58" s="8" t="s">
        <v>25</v>
      </c>
      <c r="B58" s="7">
        <v>85333188.233507752</v>
      </c>
      <c r="C58" s="6">
        <v>20482215.158242367</v>
      </c>
      <c r="D58" s="5">
        <v>4.1662089561230067</v>
      </c>
      <c r="F58" s="104"/>
      <c r="G58" s="107"/>
      <c r="H58" s="107"/>
      <c r="I58" s="107"/>
      <c r="J58" s="107"/>
      <c r="K58" s="107"/>
      <c r="L58" s="66"/>
    </row>
    <row r="59" spans="1:12" x14ac:dyDescent="0.2">
      <c r="A59" s="8" t="s">
        <v>24</v>
      </c>
      <c r="B59" s="7">
        <v>95545918.000006139</v>
      </c>
      <c r="C59" s="6">
        <v>22959284.27070985</v>
      </c>
      <c r="D59" s="5">
        <v>4.1615373054942388</v>
      </c>
      <c r="F59" s="62" t="s">
        <v>96</v>
      </c>
      <c r="G59" s="67">
        <f>D19</f>
        <v>3.9454996174078949</v>
      </c>
      <c r="H59" s="67">
        <f>D32</f>
        <v>3.9877955639595268</v>
      </c>
      <c r="I59" s="67">
        <f>D45</f>
        <v>4.0407290395729225</v>
      </c>
      <c r="J59" s="67">
        <f>D58</f>
        <v>4.1662089561230067</v>
      </c>
      <c r="K59" s="67">
        <f>D71</f>
        <v>4.2365259418668701</v>
      </c>
      <c r="L59" s="66"/>
    </row>
    <row r="60" spans="1:12" x14ac:dyDescent="0.2">
      <c r="A60" s="8" t="s">
        <v>23</v>
      </c>
      <c r="B60" s="7">
        <v>93475307.515315443</v>
      </c>
      <c r="C60" s="6">
        <v>22576466.945244204</v>
      </c>
      <c r="D60" s="5">
        <v>4.1403868790464697</v>
      </c>
      <c r="F60" s="104"/>
      <c r="G60" s="107"/>
      <c r="H60" s="107"/>
      <c r="I60" s="107"/>
      <c r="J60" s="107"/>
      <c r="K60" s="107"/>
      <c r="L60" s="66"/>
    </row>
    <row r="61" spans="1:12" x14ac:dyDescent="0.2">
      <c r="A61" s="8" t="s">
        <v>22</v>
      </c>
      <c r="B61" s="7">
        <v>102254128.26550952</v>
      </c>
      <c r="C61" s="6">
        <v>24445411.728062071</v>
      </c>
      <c r="D61" s="5">
        <v>4.1829579064985456</v>
      </c>
      <c r="F61" s="62" t="s">
        <v>97</v>
      </c>
      <c r="G61" s="67">
        <f>D20</f>
        <v>3.9444763616736402</v>
      </c>
      <c r="H61" s="67">
        <f>D33</f>
        <v>3.9988262085461761</v>
      </c>
      <c r="I61" s="67">
        <f>D46</f>
        <v>4.0651282101830244</v>
      </c>
      <c r="J61" s="67">
        <f>D59</f>
        <v>4.1615373054942388</v>
      </c>
      <c r="K61" s="67">
        <f>D72</f>
        <v>4.2549992056924753</v>
      </c>
      <c r="L61" s="66"/>
    </row>
    <row r="62" spans="1:12" x14ac:dyDescent="0.2">
      <c r="A62" s="8" t="s">
        <v>21</v>
      </c>
      <c r="B62" s="7">
        <v>97335270.634292647</v>
      </c>
      <c r="C62" s="6">
        <v>23307463.491165094</v>
      </c>
      <c r="D62" s="5">
        <v>4.1761417183465062</v>
      </c>
      <c r="F62" s="104"/>
      <c r="G62" s="107"/>
      <c r="H62" s="107"/>
      <c r="I62" s="107"/>
      <c r="J62" s="107"/>
      <c r="K62" s="107"/>
      <c r="L62" s="66"/>
    </row>
    <row r="63" spans="1:12" x14ac:dyDescent="0.2">
      <c r="A63" s="8" t="s">
        <v>20</v>
      </c>
      <c r="B63" s="7">
        <v>109447256.24989441</v>
      </c>
      <c r="C63" s="6">
        <v>26040551.718421284</v>
      </c>
      <c r="D63" s="5">
        <v>4.2029545853466148</v>
      </c>
      <c r="F63" s="62" t="s">
        <v>98</v>
      </c>
      <c r="G63" s="67">
        <f>D21</f>
        <v>3.9732042118276931</v>
      </c>
      <c r="H63" s="67">
        <f>D34</f>
        <v>3.9702814751758329</v>
      </c>
      <c r="I63" s="67">
        <f>D47</f>
        <v>4.057953445183534</v>
      </c>
      <c r="J63" s="67">
        <f>D60</f>
        <v>4.1403868790464697</v>
      </c>
      <c r="K63" s="67">
        <f>D73</f>
        <v>4.2621212909590964</v>
      </c>
      <c r="L63" s="66"/>
    </row>
    <row r="64" spans="1:12" x14ac:dyDescent="0.2">
      <c r="A64" s="8" t="s">
        <v>19</v>
      </c>
      <c r="B64" s="7">
        <v>114328792.86885704</v>
      </c>
      <c r="C64" s="6">
        <v>26904977.504156653</v>
      </c>
      <c r="D64" s="5">
        <v>4.2493547095957966</v>
      </c>
      <c r="F64" s="4" t="s">
        <v>85</v>
      </c>
      <c r="G64" s="93">
        <f t="shared" ref="G64:L64" si="2">AVERAGE(G39:G63)</f>
        <v>3.9752548841373763</v>
      </c>
      <c r="H64" s="93">
        <f t="shared" si="2"/>
        <v>3.9816583764775686</v>
      </c>
      <c r="I64" s="93">
        <f t="shared" si="2"/>
        <v>4.036025034220998</v>
      </c>
      <c r="J64" s="93">
        <f t="shared" si="2"/>
        <v>4.1283341320161346</v>
      </c>
      <c r="K64" s="93">
        <f t="shared" si="2"/>
        <v>4.2314620679717114</v>
      </c>
      <c r="L64" s="93">
        <f t="shared" si="2"/>
        <v>4.2755877418552366</v>
      </c>
    </row>
    <row r="65" spans="1:4" x14ac:dyDescent="0.2">
      <c r="A65" s="8" t="s">
        <v>18</v>
      </c>
      <c r="B65" s="7">
        <v>119344443.17827114</v>
      </c>
      <c r="C65" s="6">
        <v>28167043.877183631</v>
      </c>
      <c r="D65" s="5">
        <v>4.2370240802920982</v>
      </c>
    </row>
    <row r="66" spans="1:4" x14ac:dyDescent="0.2">
      <c r="A66" s="8" t="s">
        <v>17</v>
      </c>
      <c r="B66" s="7">
        <v>111367256.03287828</v>
      </c>
      <c r="C66" s="6">
        <v>26197289.64418545</v>
      </c>
      <c r="D66" s="5">
        <v>4.2510983977915631</v>
      </c>
    </row>
    <row r="67" spans="1:4" x14ac:dyDescent="0.2">
      <c r="A67" s="8" t="s">
        <v>16</v>
      </c>
      <c r="B67" s="7">
        <v>106431834.60054377</v>
      </c>
      <c r="C67" s="6">
        <v>24887607.132237267</v>
      </c>
      <c r="D67" s="5">
        <v>4.2764993048560749</v>
      </c>
    </row>
    <row r="68" spans="1:4" x14ac:dyDescent="0.2">
      <c r="A68" s="8" t="s">
        <v>15</v>
      </c>
      <c r="B68" s="7">
        <v>102637628.55715297</v>
      </c>
      <c r="C68" s="6">
        <v>24258777.790810842</v>
      </c>
      <c r="D68" s="5">
        <v>4.2309480486701112</v>
      </c>
    </row>
    <row r="69" spans="1:4" x14ac:dyDescent="0.2">
      <c r="A69" s="8" t="s">
        <v>14</v>
      </c>
      <c r="B69" s="7">
        <v>100857093.70273347</v>
      </c>
      <c r="C69" s="6">
        <v>23928075.400173306</v>
      </c>
      <c r="D69" s="5">
        <v>4.2150106941740493</v>
      </c>
    </row>
    <row r="70" spans="1:4" x14ac:dyDescent="0.2">
      <c r="A70" s="8" t="s">
        <v>13</v>
      </c>
      <c r="B70" s="7">
        <v>101836980.08568993</v>
      </c>
      <c r="C70" s="6">
        <v>24055765.510912396</v>
      </c>
      <c r="D70" s="5">
        <v>4.2333709995424469</v>
      </c>
    </row>
    <row r="71" spans="1:4" x14ac:dyDescent="0.2">
      <c r="A71" s="8" t="s">
        <v>12</v>
      </c>
      <c r="B71" s="7">
        <v>102426078.8470425</v>
      </c>
      <c r="C71" s="6">
        <v>24176903.494165163</v>
      </c>
      <c r="D71" s="5">
        <v>4.2365259418668701</v>
      </c>
    </row>
    <row r="72" spans="1:4" x14ac:dyDescent="0.2">
      <c r="A72" s="8" t="s">
        <v>11</v>
      </c>
      <c r="B72" s="7">
        <v>109633863.5643758</v>
      </c>
      <c r="C72" s="6">
        <v>25765895.189287953</v>
      </c>
      <c r="D72" s="5">
        <v>4.2549992056924753</v>
      </c>
    </row>
    <row r="73" spans="1:4" x14ac:dyDescent="0.2">
      <c r="A73" s="8" t="s">
        <v>10</v>
      </c>
      <c r="B73" s="7">
        <v>110646077.84386016</v>
      </c>
      <c r="C73" s="6">
        <v>25960330.617189381</v>
      </c>
      <c r="D73" s="5">
        <v>4.2621212909590964</v>
      </c>
    </row>
    <row r="74" spans="1:4" x14ac:dyDescent="0.2">
      <c r="A74" s="8" t="s">
        <v>9</v>
      </c>
      <c r="B74" s="7">
        <v>118187048.36647797</v>
      </c>
      <c r="C74" s="6">
        <v>27523821.585162047</v>
      </c>
      <c r="D74" s="5">
        <v>4.2939912250481962</v>
      </c>
    </row>
    <row r="75" spans="1:4" x14ac:dyDescent="0.2">
      <c r="A75" s="8" t="s">
        <v>8</v>
      </c>
      <c r="B75" s="7">
        <v>113418878.84349388</v>
      </c>
      <c r="C75" s="6">
        <v>26588157.435114853</v>
      </c>
      <c r="D75" s="5">
        <v>4.2657667843391849</v>
      </c>
    </row>
    <row r="76" spans="1:4" x14ac:dyDescent="0.2">
      <c r="A76" s="8" t="s">
        <v>7</v>
      </c>
      <c r="B76" s="7">
        <v>106898964.54766566</v>
      </c>
      <c r="C76" s="6">
        <v>25172164.028488483</v>
      </c>
      <c r="D76" s="5">
        <v>4.2467133309112093</v>
      </c>
    </row>
    <row r="77" spans="1:4" x14ac:dyDescent="0.2">
      <c r="A77" s="8" t="s">
        <v>6</v>
      </c>
      <c r="B77" s="7">
        <v>104268239.60722131</v>
      </c>
      <c r="C77" s="6">
        <v>24500033.467928693</v>
      </c>
      <c r="D77" s="5">
        <v>4.2558407009407428</v>
      </c>
    </row>
    <row r="78" spans="1:4" x14ac:dyDescent="0.2">
      <c r="A78" s="8" t="s">
        <v>5</v>
      </c>
      <c r="B78" s="7">
        <v>101329328.97011827</v>
      </c>
      <c r="C78" s="6">
        <v>23830756.145337276</v>
      </c>
      <c r="D78" s="5">
        <v>4.2520400255929083</v>
      </c>
    </row>
    <row r="79" spans="1:4" x14ac:dyDescent="0.2">
      <c r="A79" s="8" t="s">
        <v>170</v>
      </c>
      <c r="B79" s="7">
        <v>97335467.581747919</v>
      </c>
      <c r="C79" s="6">
        <v>22699019.8606009</v>
      </c>
      <c r="D79" s="5">
        <v>4.288091211845444</v>
      </c>
    </row>
    <row r="80" spans="1:4" x14ac:dyDescent="0.2">
      <c r="A80" s="8" t="s">
        <v>171</v>
      </c>
      <c r="B80" s="7">
        <v>94039525.99297753</v>
      </c>
      <c r="C80" s="6">
        <v>21940757.387067188</v>
      </c>
      <c r="D80" s="5">
        <v>4.2860656236237507</v>
      </c>
    </row>
    <row r="81" spans="1:4" x14ac:dyDescent="0.2">
      <c r="A81" s="8" t="s">
        <v>172</v>
      </c>
      <c r="B81" s="7">
        <v>91032311.925800979</v>
      </c>
      <c r="C81" s="6">
        <v>21225234.003687914</v>
      </c>
      <c r="D81" s="5">
        <v>4.2888720053679492</v>
      </c>
    </row>
    <row r="82" spans="1:4" x14ac:dyDescent="0.2">
      <c r="A82" s="8" t="s">
        <v>173</v>
      </c>
      <c r="B82" s="7">
        <v>92967261.433556378</v>
      </c>
      <c r="C82" s="6">
        <v>21605678.024766166</v>
      </c>
      <c r="D82" s="5">
        <v>4.302908769027745</v>
      </c>
    </row>
  </sheetData>
  <mergeCells count="3">
    <mergeCell ref="F7:L7"/>
    <mergeCell ref="N7:T7"/>
    <mergeCell ref="F37:L37"/>
  </mergeCells>
  <pageMargins left="0.7" right="0.7" top="0.75" bottom="0.75" header="0.3" footer="0.3"/>
  <colBreaks count="1" manualBreakCount="1">
    <brk id="5" max="1048575" man="1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7AF35-F8B3-4A83-A618-1B78A669C02D}">
  <sheetPr>
    <pageSetUpPr fitToPage="1"/>
  </sheetPr>
  <dimension ref="A1:Q42"/>
  <sheetViews>
    <sheetView tabSelected="1" zoomScale="110" zoomScaleNormal="11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sqref="A1:M1"/>
    </sheetView>
  </sheetViews>
  <sheetFormatPr defaultColWidth="9.140625" defaultRowHeight="12.75" x14ac:dyDescent="0.2"/>
  <cols>
    <col min="1" max="1" width="12.85546875" style="19" customWidth="1"/>
    <col min="2" max="13" width="8" style="19" customWidth="1"/>
    <col min="14" max="16" width="9.140625" style="19"/>
    <col min="17" max="17" width="10.28515625" style="19" customWidth="1"/>
    <col min="18" max="16384" width="9.140625" style="19"/>
  </cols>
  <sheetData>
    <row r="1" spans="1:17" ht="20.25" x14ac:dyDescent="0.3">
      <c r="A1" s="115" t="s">
        <v>79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7" ht="15.75" x14ac:dyDescent="0.25">
      <c r="A2" s="116" t="s">
        <v>80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7" ht="18" x14ac:dyDescent="0.25">
      <c r="A3" s="20"/>
      <c r="B3" s="21">
        <v>2011</v>
      </c>
      <c r="C3" s="21">
        <v>2012</v>
      </c>
      <c r="D3" s="21">
        <v>2013</v>
      </c>
      <c r="E3" s="21">
        <v>2014</v>
      </c>
      <c r="F3" s="21">
        <v>2015</v>
      </c>
      <c r="G3" s="21">
        <v>2016</v>
      </c>
      <c r="H3" s="21">
        <v>2017</v>
      </c>
      <c r="I3" s="21">
        <v>2018</v>
      </c>
      <c r="J3" s="21">
        <v>2019</v>
      </c>
      <c r="K3" s="21">
        <v>2020</v>
      </c>
      <c r="L3" s="74">
        <v>2021</v>
      </c>
      <c r="M3" s="22" t="s">
        <v>108</v>
      </c>
    </row>
    <row r="4" spans="1:17" x14ac:dyDescent="0.2">
      <c r="A4" s="23" t="s">
        <v>86</v>
      </c>
      <c r="B4" s="99">
        <f>'2011 MC Topline 12YA'!H6</f>
        <v>70.495994979919672</v>
      </c>
      <c r="C4" s="24">
        <f>'2012 Topline Reports'!J6</f>
        <v>70.214010999999999</v>
      </c>
      <c r="D4" s="24">
        <f>'2013-2015'!B8</f>
        <v>87.244731489999992</v>
      </c>
      <c r="E4" s="24">
        <f>'2013-2015'!C8</f>
        <v>90.729918060000003</v>
      </c>
      <c r="F4" s="24">
        <f>'2013-2015'!D8</f>
        <v>93.415811200000007</v>
      </c>
      <c r="G4" s="24">
        <f>'2016-2021YTD'!G9</f>
        <v>96.496260605725226</v>
      </c>
      <c r="H4" s="24">
        <f>'2016-2021YTD'!H9</f>
        <v>94.043791290341233</v>
      </c>
      <c r="I4" s="24">
        <f>'2016-2021YTD'!I9</f>
        <v>97.583383962584747</v>
      </c>
      <c r="J4" s="24">
        <f>'2016-2021YTD'!J9</f>
        <v>100.90311426773674</v>
      </c>
      <c r="K4" s="24">
        <f>'2016-2021YTD'!K9</f>
        <v>102.25412826550952</v>
      </c>
      <c r="L4" s="24">
        <f>'2016-2021YTD'!L9</f>
        <v>118.18704836647797</v>
      </c>
      <c r="M4" s="73">
        <f t="shared" ref="M4:M7" si="0">(L4-K4)/K4</f>
        <v>0.15581688848393072</v>
      </c>
    </row>
    <row r="5" spans="1:17" x14ac:dyDescent="0.2">
      <c r="A5" s="26" t="s">
        <v>81</v>
      </c>
      <c r="B5" s="27">
        <f t="shared" ref="B5:L5" si="1">SUM(B4)</f>
        <v>70.495994979919672</v>
      </c>
      <c r="C5" s="27">
        <f t="shared" si="1"/>
        <v>70.214010999999999</v>
      </c>
      <c r="D5" s="27">
        <f t="shared" si="1"/>
        <v>87.244731489999992</v>
      </c>
      <c r="E5" s="27">
        <f t="shared" si="1"/>
        <v>90.729918060000003</v>
      </c>
      <c r="F5" s="27">
        <f t="shared" si="1"/>
        <v>93.415811200000007</v>
      </c>
      <c r="G5" s="27">
        <f t="shared" si="1"/>
        <v>96.496260605725226</v>
      </c>
      <c r="H5" s="27">
        <f t="shared" si="1"/>
        <v>94.043791290341233</v>
      </c>
      <c r="I5" s="27">
        <f t="shared" si="1"/>
        <v>97.583383962584747</v>
      </c>
      <c r="J5" s="27">
        <f t="shared" si="1"/>
        <v>100.90311426773674</v>
      </c>
      <c r="K5" s="27">
        <f t="shared" si="1"/>
        <v>102.25412826550952</v>
      </c>
      <c r="L5" s="27">
        <f t="shared" si="1"/>
        <v>118.18704836647797</v>
      </c>
      <c r="M5" s="73">
        <f t="shared" si="0"/>
        <v>0.15581688848393072</v>
      </c>
    </row>
    <row r="6" spans="1:17" x14ac:dyDescent="0.2">
      <c r="A6" s="23" t="s">
        <v>87</v>
      </c>
      <c r="B6" s="28">
        <f>'2011 MC Topline 12YA'!H7</f>
        <v>67.919304477611945</v>
      </c>
      <c r="C6" s="28">
        <f>'2012 Topline Reports'!J7</f>
        <v>68.258900999999994</v>
      </c>
      <c r="D6" s="28">
        <f>'2013-2015'!B10</f>
        <v>86.264441680000004</v>
      </c>
      <c r="E6" s="28">
        <f>'2013-2015'!C10</f>
        <v>89.643702489999995</v>
      </c>
      <c r="F6" s="28">
        <f>'2013-2015'!D10</f>
        <v>91.748288150000008</v>
      </c>
      <c r="G6" s="28">
        <f>'2016-2021YTD'!G11</f>
        <v>91.696032089523783</v>
      </c>
      <c r="H6" s="28">
        <f>'2016-2021YTD'!H11</f>
        <v>91.688986576101357</v>
      </c>
      <c r="I6" s="28">
        <f>'2016-2021YTD'!I11</f>
        <v>94.413288685184398</v>
      </c>
      <c r="J6" s="28">
        <f>'2016-2021YTD'!J11</f>
        <v>94.95165497716701</v>
      </c>
      <c r="K6" s="28">
        <f>'2016-2021YTD'!K11</f>
        <v>97.335270634292641</v>
      </c>
      <c r="L6" s="28">
        <f>'2016-2021YTD'!L11</f>
        <v>113.41887884349389</v>
      </c>
      <c r="M6" s="73">
        <f t="shared" si="0"/>
        <v>0.16523926120913002</v>
      </c>
    </row>
    <row r="7" spans="1:17" x14ac:dyDescent="0.2">
      <c r="A7" s="26" t="s">
        <v>81</v>
      </c>
      <c r="B7" s="27">
        <f t="shared" ref="B7:L7" si="2">SUM(B5:B6)</f>
        <v>138.4152994575316</v>
      </c>
      <c r="C7" s="27">
        <f t="shared" si="2"/>
        <v>138.47291200000001</v>
      </c>
      <c r="D7" s="27">
        <f t="shared" si="2"/>
        <v>173.50917317</v>
      </c>
      <c r="E7" s="27">
        <f t="shared" si="2"/>
        <v>180.37362055</v>
      </c>
      <c r="F7" s="27">
        <f t="shared" si="2"/>
        <v>185.16409935000001</v>
      </c>
      <c r="G7" s="27">
        <f t="shared" si="2"/>
        <v>188.19229269524902</v>
      </c>
      <c r="H7" s="27">
        <f t="shared" si="2"/>
        <v>185.73277786644258</v>
      </c>
      <c r="I7" s="27">
        <f t="shared" si="2"/>
        <v>191.99667264776915</v>
      </c>
      <c r="J7" s="27">
        <f t="shared" si="2"/>
        <v>195.85476924490376</v>
      </c>
      <c r="K7" s="27">
        <f t="shared" si="2"/>
        <v>199.58939889980218</v>
      </c>
      <c r="L7" s="27">
        <f t="shared" si="2"/>
        <v>231.60592720997187</v>
      </c>
      <c r="M7" s="73">
        <f t="shared" si="0"/>
        <v>0.16041196820399575</v>
      </c>
    </row>
    <row r="8" spans="1:17" x14ac:dyDescent="0.2">
      <c r="A8" s="23" t="s">
        <v>88</v>
      </c>
      <c r="B8" s="28">
        <f>'2011 MC Topline 12YA'!H8</f>
        <v>66.624140816326531</v>
      </c>
      <c r="C8" s="29">
        <f>'2012 Topline Reports'!J8</f>
        <v>65.291657999999998</v>
      </c>
      <c r="D8" s="29">
        <f>'2013-2015'!B12</f>
        <v>84.165198219999994</v>
      </c>
      <c r="E8" s="29">
        <f>'2013-2015'!C12</f>
        <v>85.475150900000003</v>
      </c>
      <c r="F8" s="29">
        <f>'2013-2015'!D12</f>
        <v>87.06522837</v>
      </c>
      <c r="G8" s="29">
        <f>'2016-2021YTD'!G13</f>
        <v>89.885062419762832</v>
      </c>
      <c r="H8" s="29">
        <f>'2016-2021YTD'!H13</f>
        <v>90.343900272463131</v>
      </c>
      <c r="I8" s="29">
        <f>'2016-2021YTD'!I13</f>
        <v>93.089236479870664</v>
      </c>
      <c r="J8" s="28">
        <f>'2016-2021YTD'!J13</f>
        <v>92.005682943014023</v>
      </c>
      <c r="K8" s="29">
        <f>'2016-2021YTD'!K13</f>
        <v>109.44725624989441</v>
      </c>
      <c r="L8" s="29">
        <f>'2016-2021YTD'!L13</f>
        <v>106.89896454766566</v>
      </c>
      <c r="M8" s="73">
        <f>(L8-K8)/K8</f>
        <v>-2.3283285388264002E-2</v>
      </c>
    </row>
    <row r="9" spans="1:17" x14ac:dyDescent="0.2">
      <c r="A9" s="26" t="s">
        <v>81</v>
      </c>
      <c r="B9" s="27">
        <f t="shared" ref="B9:L9" si="3">SUM(B7:B8)</f>
        <v>205.03944027385813</v>
      </c>
      <c r="C9" s="27">
        <f t="shared" si="3"/>
        <v>203.76456999999999</v>
      </c>
      <c r="D9" s="27">
        <f t="shared" si="3"/>
        <v>257.67437138999998</v>
      </c>
      <c r="E9" s="27">
        <f t="shared" si="3"/>
        <v>265.84877145000002</v>
      </c>
      <c r="F9" s="27">
        <f t="shared" si="3"/>
        <v>272.22932772000001</v>
      </c>
      <c r="G9" s="27">
        <f t="shared" si="3"/>
        <v>278.07735511501187</v>
      </c>
      <c r="H9" s="27">
        <f t="shared" si="3"/>
        <v>276.07667813890572</v>
      </c>
      <c r="I9" s="27">
        <f t="shared" si="3"/>
        <v>285.08590912763981</v>
      </c>
      <c r="J9" s="27">
        <f t="shared" si="3"/>
        <v>287.86045218791776</v>
      </c>
      <c r="K9" s="27">
        <f t="shared" si="3"/>
        <v>309.03665514969657</v>
      </c>
      <c r="L9" s="27">
        <f t="shared" si="3"/>
        <v>338.50489175763755</v>
      </c>
      <c r="M9" s="73">
        <f t="shared" ref="M9:M21" si="4">(L9-K9)/K9</f>
        <v>9.5355150002081931E-2</v>
      </c>
    </row>
    <row r="10" spans="1:17" x14ac:dyDescent="0.2">
      <c r="A10" s="23" t="s">
        <v>89</v>
      </c>
      <c r="B10" s="28">
        <f>'2011 MC Topline 12YA'!H9</f>
        <v>67.429670010030094</v>
      </c>
      <c r="C10" s="29">
        <f>'2012 Topline Reports'!J9</f>
        <v>67.227380999999994</v>
      </c>
      <c r="D10" s="29">
        <f>'2013-2015'!B14</f>
        <v>80.99849141</v>
      </c>
      <c r="E10" s="29">
        <f>'2013-2015'!C14</f>
        <v>84.859140490000001</v>
      </c>
      <c r="F10" s="29">
        <f>'2013-2015'!D14</f>
        <v>87.025583790000013</v>
      </c>
      <c r="G10" s="29">
        <f>'2016-2021YTD'!G15</f>
        <v>88.4447882557849</v>
      </c>
      <c r="H10" s="29">
        <f>'2016-2021YTD'!H15</f>
        <v>88.213039608927957</v>
      </c>
      <c r="I10" s="29">
        <f>'2016-2021YTD'!I15</f>
        <v>91.437966853795331</v>
      </c>
      <c r="J10" s="28">
        <f>'2016-2021YTD'!J15</f>
        <v>92.210540057769904</v>
      </c>
      <c r="K10" s="29">
        <f>'2016-2021YTD'!K15</f>
        <v>114.32879286885704</v>
      </c>
      <c r="L10" s="29">
        <f>'2016-2021YTD'!L15</f>
        <v>104.2682396072213</v>
      </c>
      <c r="M10" s="73">
        <f t="shared" si="4"/>
        <v>-8.7996671784822192E-2</v>
      </c>
    </row>
    <row r="11" spans="1:17" x14ac:dyDescent="0.2">
      <c r="A11" s="26" t="s">
        <v>81</v>
      </c>
      <c r="B11" s="27">
        <f t="shared" ref="B11:L11" si="5">SUM(B9:B10)</f>
        <v>272.4691102838882</v>
      </c>
      <c r="C11" s="27">
        <f t="shared" si="5"/>
        <v>270.99195099999997</v>
      </c>
      <c r="D11" s="27">
        <f t="shared" si="5"/>
        <v>338.67286279999996</v>
      </c>
      <c r="E11" s="27">
        <f t="shared" si="5"/>
        <v>350.70791194000003</v>
      </c>
      <c r="F11" s="27">
        <f t="shared" si="5"/>
        <v>359.25491151000006</v>
      </c>
      <c r="G11" s="27">
        <f t="shared" si="5"/>
        <v>366.52214337079675</v>
      </c>
      <c r="H11" s="27">
        <f t="shared" si="5"/>
        <v>364.28971774783366</v>
      </c>
      <c r="I11" s="27">
        <f t="shared" si="5"/>
        <v>376.52387598143514</v>
      </c>
      <c r="J11" s="27">
        <f t="shared" si="5"/>
        <v>380.07099224568765</v>
      </c>
      <c r="K11" s="27">
        <f t="shared" si="5"/>
        <v>423.36544801855359</v>
      </c>
      <c r="L11" s="27">
        <f t="shared" si="5"/>
        <v>442.77313136485884</v>
      </c>
      <c r="M11" s="73">
        <f t="shared" si="4"/>
        <v>4.584144369158516E-2</v>
      </c>
    </row>
    <row r="12" spans="1:17" x14ac:dyDescent="0.2">
      <c r="A12" s="23" t="s">
        <v>90</v>
      </c>
      <c r="B12" s="28">
        <f>'2011 MC Topline 12YA'!H10</f>
        <v>61.692773854961828</v>
      </c>
      <c r="C12" s="29">
        <f>'2012 Topline Reports'!J10</f>
        <v>64.654026999999999</v>
      </c>
      <c r="D12" s="29">
        <f>'2013-2015'!B16</f>
        <v>80.712466230000004</v>
      </c>
      <c r="E12" s="29">
        <f>'2013-2015'!C16</f>
        <v>82.990610569999987</v>
      </c>
      <c r="F12" s="29">
        <f>'2013-2015'!D16</f>
        <v>85.185387819999988</v>
      </c>
      <c r="G12" s="29">
        <f>'2016-2021YTD'!G17</f>
        <v>85.929250122271796</v>
      </c>
      <c r="H12" s="29">
        <f>'2016-2021YTD'!H17</f>
        <v>85.69291968622872</v>
      </c>
      <c r="I12" s="29">
        <f>'2016-2021YTD'!I17</f>
        <v>87.633141498613497</v>
      </c>
      <c r="J12" s="29">
        <f>'2016-2021YTD'!J17</f>
        <v>86.399253073786255</v>
      </c>
      <c r="K12" s="29">
        <f>'2016-2021YTD'!K17</f>
        <v>119.34444317827115</v>
      </c>
      <c r="L12" s="29">
        <f>'2016-2021YTD'!L17</f>
        <v>101.32932897011827</v>
      </c>
      <c r="M12" s="73">
        <f t="shared" si="4"/>
        <v>-0.15095059081420947</v>
      </c>
      <c r="Q12" s="30"/>
    </row>
    <row r="13" spans="1:17" x14ac:dyDescent="0.2">
      <c r="A13" s="26" t="s">
        <v>81</v>
      </c>
      <c r="B13" s="27">
        <f t="shared" ref="B13:L13" si="6">SUM(B11:B12)</f>
        <v>334.16188413885004</v>
      </c>
      <c r="C13" s="27">
        <f t="shared" si="6"/>
        <v>335.64597799999996</v>
      </c>
      <c r="D13" s="27">
        <f t="shared" si="6"/>
        <v>419.38532902999998</v>
      </c>
      <c r="E13" s="27">
        <f t="shared" si="6"/>
        <v>433.69852251000003</v>
      </c>
      <c r="F13" s="27">
        <f t="shared" si="6"/>
        <v>444.44029933000002</v>
      </c>
      <c r="G13" s="27">
        <f t="shared" si="6"/>
        <v>452.45139349306857</v>
      </c>
      <c r="H13" s="27">
        <f t="shared" si="6"/>
        <v>449.98263743406238</v>
      </c>
      <c r="I13" s="27">
        <f t="shared" si="6"/>
        <v>464.15701748004864</v>
      </c>
      <c r="J13" s="27">
        <f t="shared" si="6"/>
        <v>466.47024531947392</v>
      </c>
      <c r="K13" s="27">
        <f t="shared" si="6"/>
        <v>542.70989119682474</v>
      </c>
      <c r="L13" s="27">
        <f t="shared" si="6"/>
        <v>544.10246033497708</v>
      </c>
      <c r="M13" s="73">
        <f t="shared" si="4"/>
        <v>2.5659549618329987E-3</v>
      </c>
    </row>
    <row r="14" spans="1:17" x14ac:dyDescent="0.2">
      <c r="A14" s="23" t="s">
        <v>91</v>
      </c>
      <c r="B14" s="28">
        <f>'2011 MC Topline 12YA'!H11</f>
        <v>61.990809659090907</v>
      </c>
      <c r="C14" s="28">
        <f>'2012 Topline Reports'!J11</f>
        <v>65.462294999999997</v>
      </c>
      <c r="D14" s="28">
        <f>'2013-2015'!B18</f>
        <v>78.771246099999999</v>
      </c>
      <c r="E14" s="28">
        <f>'2013-2015'!C18</f>
        <v>80.759220870000007</v>
      </c>
      <c r="F14" s="28">
        <f>'2013-2015'!D18</f>
        <v>82.527591520000001</v>
      </c>
      <c r="G14" s="28">
        <f>'2016-2021YTD'!G19</f>
        <v>83.163118451526927</v>
      </c>
      <c r="H14" s="28">
        <f>'2016-2021YTD'!H19</f>
        <v>83.894953953060721</v>
      </c>
      <c r="I14" s="28">
        <f>'2016-2021YTD'!I19</f>
        <v>86.338452376139784</v>
      </c>
      <c r="J14" s="28">
        <f>'2016-2021YTD'!J19</f>
        <v>86.202260725338718</v>
      </c>
      <c r="K14" s="28">
        <f>'2016-2021YTD'!K19</f>
        <v>111.36725603287827</v>
      </c>
      <c r="L14" s="28">
        <f>'2016-2021YTD'!L19</f>
        <v>97.33546758174792</v>
      </c>
      <c r="M14" s="73">
        <f t="shared" si="4"/>
        <v>-0.12599563777514491</v>
      </c>
    </row>
    <row r="15" spans="1:17" x14ac:dyDescent="0.2">
      <c r="A15" s="26" t="s">
        <v>81</v>
      </c>
      <c r="B15" s="27">
        <f t="shared" ref="B15:L15" si="7">SUM(B13:B14)</f>
        <v>396.15269379794097</v>
      </c>
      <c r="C15" s="27">
        <f t="shared" si="7"/>
        <v>401.10827299999994</v>
      </c>
      <c r="D15" s="27">
        <f t="shared" si="7"/>
        <v>498.15657512999996</v>
      </c>
      <c r="E15" s="27">
        <f t="shared" si="7"/>
        <v>514.45774338000001</v>
      </c>
      <c r="F15" s="27">
        <f t="shared" si="7"/>
        <v>526.96789085</v>
      </c>
      <c r="G15" s="27">
        <f t="shared" si="7"/>
        <v>535.61451194459551</v>
      </c>
      <c r="H15" s="27">
        <f t="shared" si="7"/>
        <v>533.87759138712306</v>
      </c>
      <c r="I15" s="27">
        <f t="shared" si="7"/>
        <v>550.49546985618838</v>
      </c>
      <c r="J15" s="27">
        <f t="shared" si="7"/>
        <v>552.67250604481262</v>
      </c>
      <c r="K15" s="27">
        <f t="shared" si="7"/>
        <v>654.07714722970297</v>
      </c>
      <c r="L15" s="27">
        <f t="shared" si="7"/>
        <v>641.43792791672502</v>
      </c>
      <c r="M15" s="73">
        <f t="shared" si="4"/>
        <v>-1.932374394444213E-2</v>
      </c>
    </row>
    <row r="16" spans="1:17" x14ac:dyDescent="0.2">
      <c r="A16" s="23" t="s">
        <v>92</v>
      </c>
      <c r="B16" s="28">
        <f>'2011 MC Topline 12YA'!H12</f>
        <v>59.7762536302033</v>
      </c>
      <c r="C16" s="28">
        <f>'2012 Topline Reports'!J12</f>
        <v>61.748869999999997</v>
      </c>
      <c r="D16" s="28">
        <f>'2013-2015'!B20</f>
        <v>76.345314500000001</v>
      </c>
      <c r="E16" s="28">
        <f>'2013-2015'!C20</f>
        <v>78.364125400000006</v>
      </c>
      <c r="F16" s="28">
        <f>'2013-2015'!D20</f>
        <v>81.911238409999996</v>
      </c>
      <c r="G16" s="28">
        <f>'2016-2021YTD'!G21</f>
        <v>79.419252743151247</v>
      </c>
      <c r="H16" s="28">
        <f>'2016-2021YTD'!H21</f>
        <v>81.603369999184309</v>
      </c>
      <c r="I16" s="28">
        <f>'2016-2021YTD'!I21</f>
        <v>83.018376733085816</v>
      </c>
      <c r="J16" s="28">
        <f>'2016-2021YTD'!J21</f>
        <v>83.477735647077054</v>
      </c>
      <c r="K16" s="28">
        <f>'2016-2021YTD'!K21</f>
        <v>106.43183460054377</v>
      </c>
      <c r="L16" s="28">
        <f>'2016-2021YTD'!L21</f>
        <v>94.039525992977531</v>
      </c>
      <c r="M16" s="73">
        <f t="shared" si="4"/>
        <v>-0.11643422904506545</v>
      </c>
    </row>
    <row r="17" spans="1:17" x14ac:dyDescent="0.2">
      <c r="A17" s="26" t="s">
        <v>81</v>
      </c>
      <c r="B17" s="27">
        <f t="shared" ref="B17:L17" si="8">SUM(B15:B16)</f>
        <v>455.92894742814428</v>
      </c>
      <c r="C17" s="27">
        <f t="shared" si="8"/>
        <v>462.85714299999995</v>
      </c>
      <c r="D17" s="27">
        <f t="shared" si="8"/>
        <v>574.50188962999994</v>
      </c>
      <c r="E17" s="27">
        <f t="shared" si="8"/>
        <v>592.82186878000005</v>
      </c>
      <c r="F17" s="27">
        <f t="shared" si="8"/>
        <v>608.87912926000001</v>
      </c>
      <c r="G17" s="27">
        <f t="shared" si="8"/>
        <v>615.03376468774673</v>
      </c>
      <c r="H17" s="27">
        <f t="shared" si="8"/>
        <v>615.4809613863074</v>
      </c>
      <c r="I17" s="27">
        <f t="shared" si="8"/>
        <v>633.51384658927418</v>
      </c>
      <c r="J17" s="27">
        <f t="shared" si="8"/>
        <v>636.15024169188973</v>
      </c>
      <c r="K17" s="27">
        <f t="shared" si="8"/>
        <v>760.50898183024674</v>
      </c>
      <c r="L17" s="27">
        <f t="shared" si="8"/>
        <v>735.47745390970249</v>
      </c>
      <c r="M17" s="73">
        <f t="shared" si="4"/>
        <v>-3.2914177897417046E-2</v>
      </c>
    </row>
    <row r="18" spans="1:17" x14ac:dyDescent="0.2">
      <c r="A18" s="23" t="s">
        <v>93</v>
      </c>
      <c r="B18" s="28">
        <f>'2011 MC Topline 12YA'!H13</f>
        <v>57.209065573770495</v>
      </c>
      <c r="C18" s="28">
        <f>'2012 Topline Reports'!J13</f>
        <v>59.325800999999998</v>
      </c>
      <c r="D18" s="28">
        <f>'2013-2015'!B22</f>
        <v>75.455406659999994</v>
      </c>
      <c r="E18" s="28">
        <f>'2013-2015'!C22</f>
        <v>76.800417859999996</v>
      </c>
      <c r="F18" s="28">
        <f>'2013-2015'!D22</f>
        <v>80.891255040000004</v>
      </c>
      <c r="G18" s="28">
        <f>'2016-2021YTD'!G23</f>
        <v>77.039769083156884</v>
      </c>
      <c r="H18" s="28">
        <f>'2016-2021YTD'!H23</f>
        <v>80.202737512272506</v>
      </c>
      <c r="I18" s="28">
        <f>'2016-2021YTD'!I23</f>
        <v>81.159557839317443</v>
      </c>
      <c r="J18" s="28">
        <f>'2016-2021YTD'!J23</f>
        <v>81.62104410206814</v>
      </c>
      <c r="K18" s="28">
        <f>'2016-2021YTD'!K23</f>
        <v>102.63762855715296</v>
      </c>
      <c r="L18" s="28">
        <f>'2016-2021YTD'!L23</f>
        <v>91.032311925800983</v>
      </c>
      <c r="M18" s="73">
        <f t="shared" si="4"/>
        <v>-0.11307077915279046</v>
      </c>
    </row>
    <row r="19" spans="1:17" x14ac:dyDescent="0.2">
      <c r="A19" s="26" t="s">
        <v>81</v>
      </c>
      <c r="B19" s="27">
        <f t="shared" ref="B19:L19" si="9">SUM(B17:B18)</f>
        <v>513.13801300191483</v>
      </c>
      <c r="C19" s="27">
        <f t="shared" si="9"/>
        <v>522.18294399999991</v>
      </c>
      <c r="D19" s="27">
        <f t="shared" si="9"/>
        <v>649.95729628999993</v>
      </c>
      <c r="E19" s="27">
        <f t="shared" si="9"/>
        <v>669.62228664000008</v>
      </c>
      <c r="F19" s="27">
        <f t="shared" si="9"/>
        <v>689.77038430000005</v>
      </c>
      <c r="G19" s="27">
        <f t="shared" si="9"/>
        <v>692.07353377090362</v>
      </c>
      <c r="H19" s="27">
        <f t="shared" si="9"/>
        <v>695.68369889857991</v>
      </c>
      <c r="I19" s="27">
        <f t="shared" si="9"/>
        <v>714.67340442859165</v>
      </c>
      <c r="J19" s="27">
        <f t="shared" si="9"/>
        <v>717.77128579395787</v>
      </c>
      <c r="K19" s="27">
        <f t="shared" si="9"/>
        <v>863.14661038739973</v>
      </c>
      <c r="L19" s="27">
        <f t="shared" si="9"/>
        <v>826.50976583550346</v>
      </c>
      <c r="M19" s="73">
        <f t="shared" si="4"/>
        <v>-4.244567969218211E-2</v>
      </c>
      <c r="Q19" s="31"/>
    </row>
    <row r="20" spans="1:17" x14ac:dyDescent="0.2">
      <c r="A20" s="23" t="s">
        <v>94</v>
      </c>
      <c r="B20" s="28">
        <f>'2011 MC Topline 12YA'!H14</f>
        <v>59.643158869395712</v>
      </c>
      <c r="C20" s="28">
        <f>'2012 Topline Reports'!J14</f>
        <v>61.193880999999998</v>
      </c>
      <c r="D20" s="28">
        <f>'2013-2015'!B24</f>
        <v>76.873311959999995</v>
      </c>
      <c r="E20" s="28">
        <f>'2013-2015'!C24</f>
        <v>80.015933669999995</v>
      </c>
      <c r="F20" s="28">
        <f>'2013-2015'!D24</f>
        <v>83.927172880000001</v>
      </c>
      <c r="G20" s="28">
        <f>'2016-2021YTD'!G25</f>
        <v>79.023917566841945</v>
      </c>
      <c r="H20" s="28">
        <f>'2016-2021YTD'!H25</f>
        <v>81.63521190653266</v>
      </c>
      <c r="I20" s="28">
        <f>'2016-2021YTD'!I25</f>
        <v>83.017839186287759</v>
      </c>
      <c r="J20" s="28">
        <f>'2016-2021YTD'!J25</f>
        <v>83.738279075900167</v>
      </c>
      <c r="K20" s="28">
        <f>'2016-2021YTD'!K25</f>
        <v>100.85709370273347</v>
      </c>
      <c r="L20" s="28">
        <f>'2016-2021YTD'!L25</f>
        <v>92.967261433556374</v>
      </c>
      <c r="M20" s="73">
        <f t="shared" si="4"/>
        <v>-7.8227836828528977E-2</v>
      </c>
    </row>
    <row r="21" spans="1:17" x14ac:dyDescent="0.2">
      <c r="A21" s="26" t="s">
        <v>81</v>
      </c>
      <c r="B21" s="27">
        <f t="shared" ref="B21:K21" si="10">SUM(B19:B20)</f>
        <v>572.78117187131056</v>
      </c>
      <c r="C21" s="27">
        <f t="shared" si="10"/>
        <v>583.37682499999994</v>
      </c>
      <c r="D21" s="27">
        <f t="shared" si="10"/>
        <v>726.83060824999995</v>
      </c>
      <c r="E21" s="27">
        <f t="shared" si="10"/>
        <v>749.63822031000007</v>
      </c>
      <c r="F21" s="27">
        <f t="shared" si="10"/>
        <v>773.6975571800001</v>
      </c>
      <c r="G21" s="27">
        <f t="shared" si="10"/>
        <v>771.09745133774561</v>
      </c>
      <c r="H21" s="27">
        <f t="shared" si="10"/>
        <v>777.31891080511252</v>
      </c>
      <c r="I21" s="27">
        <f t="shared" si="10"/>
        <v>797.69124361487945</v>
      </c>
      <c r="J21" s="27">
        <f t="shared" si="10"/>
        <v>801.50956486985808</v>
      </c>
      <c r="K21" s="27">
        <f t="shared" si="10"/>
        <v>964.00370409013317</v>
      </c>
      <c r="L21" s="27">
        <f>SUM(L19:L20)</f>
        <v>919.47702726905982</v>
      </c>
      <c r="M21" s="73">
        <f t="shared" si="4"/>
        <v>-4.6189321298406714E-2</v>
      </c>
    </row>
    <row r="22" spans="1:17" x14ac:dyDescent="0.2">
      <c r="A22" s="23" t="s">
        <v>95</v>
      </c>
      <c r="B22" s="28">
        <f>'2011 MC Topline 12YA'!H15</f>
        <v>59.44756951102589</v>
      </c>
      <c r="C22" s="28">
        <f>'2012 Topline Reports'!J15</f>
        <v>62.003815000000003</v>
      </c>
      <c r="D22" s="28">
        <f>'2013-2015'!B26</f>
        <v>78.139133529999995</v>
      </c>
      <c r="E22" s="28">
        <f>'2013-2015'!C26</f>
        <v>81.547841239999997</v>
      </c>
      <c r="F22" s="28">
        <f>'2013-2015'!D26</f>
        <v>84.52602370999999</v>
      </c>
      <c r="G22" s="28">
        <f>'2016-2021YTD'!G27</f>
        <v>79.789479959082854</v>
      </c>
      <c r="H22" s="28">
        <f>'2016-2021YTD'!H27</f>
        <v>82.399363534750194</v>
      </c>
      <c r="I22" s="28">
        <f>'2016-2021YTD'!I27</f>
        <v>83.576621409502792</v>
      </c>
      <c r="J22" s="28">
        <f>'2016-2021YTD'!J27</f>
        <v>84.185907937277648</v>
      </c>
      <c r="K22" s="28">
        <f>'2016-2021YTD'!K27</f>
        <v>101.83698008568993</v>
      </c>
      <c r="L22" s="28"/>
      <c r="M22" s="72"/>
    </row>
    <row r="23" spans="1:17" x14ac:dyDescent="0.2">
      <c r="A23" s="26" t="s">
        <v>81</v>
      </c>
      <c r="B23" s="27">
        <f t="shared" ref="B23:K23" si="11">SUM(B21:B22)</f>
        <v>632.22874138233647</v>
      </c>
      <c r="C23" s="27">
        <f t="shared" si="11"/>
        <v>645.38063999999997</v>
      </c>
      <c r="D23" s="27">
        <f t="shared" si="11"/>
        <v>804.96974177999994</v>
      </c>
      <c r="E23" s="27">
        <f t="shared" si="11"/>
        <v>831.18606155000009</v>
      </c>
      <c r="F23" s="27">
        <f t="shared" si="11"/>
        <v>858.22358089000011</v>
      </c>
      <c r="G23" s="27">
        <f t="shared" si="11"/>
        <v>850.88693129682849</v>
      </c>
      <c r="H23" s="27">
        <f t="shared" si="11"/>
        <v>859.71827433986277</v>
      </c>
      <c r="I23" s="27">
        <f t="shared" si="11"/>
        <v>881.26786502438222</v>
      </c>
      <c r="J23" s="27">
        <f t="shared" si="11"/>
        <v>885.69547280713573</v>
      </c>
      <c r="K23" s="27">
        <f t="shared" si="11"/>
        <v>1065.8406841758231</v>
      </c>
      <c r="L23" s="27"/>
      <c r="M23" s="72"/>
    </row>
    <row r="24" spans="1:17" x14ac:dyDescent="0.2">
      <c r="A24" s="23" t="s">
        <v>96</v>
      </c>
      <c r="B24" s="28">
        <f>'2011 MC Topline 12YA'!H16</f>
        <v>59.873343137254899</v>
      </c>
      <c r="C24" s="28">
        <f>'2012 Topline Reports'!J16</f>
        <v>61.070810000000002</v>
      </c>
      <c r="D24" s="28">
        <f>'2013-2015'!B28</f>
        <v>79.342031730000002</v>
      </c>
      <c r="E24" s="28">
        <f>'2013-2015'!C28</f>
        <v>82.314808659999997</v>
      </c>
      <c r="F24" s="28">
        <f>'2013-2015'!D28</f>
        <v>85.904993619999999</v>
      </c>
      <c r="G24" s="28">
        <f>'2016-2021YTD'!G29</f>
        <v>81.353032927411618</v>
      </c>
      <c r="H24" s="28">
        <f>'2016-2021YTD'!H29</f>
        <v>83.553900731171495</v>
      </c>
      <c r="I24" s="28">
        <f>'2016-2021YTD'!I29</f>
        <v>85.055096719256966</v>
      </c>
      <c r="J24" s="28">
        <f>'2016-2021YTD'!J29</f>
        <v>85.333188233507755</v>
      </c>
      <c r="K24" s="28">
        <f>'2016-2021YTD'!K29</f>
        <v>102.4260788470425</v>
      </c>
      <c r="L24" s="28"/>
      <c r="M24" s="72"/>
    </row>
    <row r="25" spans="1:17" x14ac:dyDescent="0.2">
      <c r="A25" s="26" t="s">
        <v>81</v>
      </c>
      <c r="B25" s="32">
        <f t="shared" ref="B25:K25" si="12">SUM(B23:B24)</f>
        <v>692.10208451959136</v>
      </c>
      <c r="C25" s="32">
        <f t="shared" si="12"/>
        <v>706.45145000000002</v>
      </c>
      <c r="D25" s="32">
        <f t="shared" si="12"/>
        <v>884.31177350999997</v>
      </c>
      <c r="E25" s="32">
        <f t="shared" si="12"/>
        <v>913.50087021000013</v>
      </c>
      <c r="F25" s="32">
        <f t="shared" si="12"/>
        <v>944.12857451000013</v>
      </c>
      <c r="G25" s="32">
        <f t="shared" si="12"/>
        <v>932.23996422424011</v>
      </c>
      <c r="H25" s="32">
        <f t="shared" si="12"/>
        <v>943.27217507103433</v>
      </c>
      <c r="I25" s="32">
        <f t="shared" si="12"/>
        <v>966.32296174363921</v>
      </c>
      <c r="J25" s="32">
        <f t="shared" si="12"/>
        <v>971.02866104064344</v>
      </c>
      <c r="K25" s="32">
        <f t="shared" si="12"/>
        <v>1168.2667630228657</v>
      </c>
      <c r="L25" s="32"/>
      <c r="M25" s="72"/>
    </row>
    <row r="26" spans="1:17" x14ac:dyDescent="0.2">
      <c r="A26" s="53" t="s">
        <v>97</v>
      </c>
      <c r="B26" s="28">
        <f>'2011 MC Topline 12YA'!H17</f>
        <v>66.961028487229868</v>
      </c>
      <c r="C26" s="28">
        <f>'2012 Topline Reports'!J17</f>
        <v>68.166326999999995</v>
      </c>
      <c r="D26" s="28">
        <f>'2013-2015'!B30</f>
        <v>86.969076250000001</v>
      </c>
      <c r="E26" s="28">
        <f>'2013-2015'!C30</f>
        <v>88.414731700000004</v>
      </c>
      <c r="F26" s="28">
        <f>'2013-2015'!D30</f>
        <v>94.186463230000001</v>
      </c>
      <c r="G26" s="28">
        <f>'2016-2021YTD'!G31</f>
        <v>87.121060565400086</v>
      </c>
      <c r="H26" s="28">
        <f>'2016-2021YTD'!H31</f>
        <v>91.083719189065974</v>
      </c>
      <c r="I26" s="28">
        <f>'2016-2021YTD'!I31</f>
        <v>93.39733098294073</v>
      </c>
      <c r="J26" s="28">
        <f>'2016-2021YTD'!J31</f>
        <v>95.545918000006139</v>
      </c>
      <c r="K26" s="28">
        <f>'2016-2021YTD'!K31</f>
        <v>109.6338635643758</v>
      </c>
      <c r="L26" s="28"/>
      <c r="M26" s="72"/>
    </row>
    <row r="27" spans="1:17" x14ac:dyDescent="0.2">
      <c r="A27" s="26" t="s">
        <v>81</v>
      </c>
      <c r="B27" s="32">
        <f t="shared" ref="B27:K27" si="13">SUM(B25:B26)</f>
        <v>759.06311300682125</v>
      </c>
      <c r="C27" s="32">
        <f t="shared" si="13"/>
        <v>774.61777700000005</v>
      </c>
      <c r="D27" s="32">
        <f t="shared" si="13"/>
        <v>971.28084975999991</v>
      </c>
      <c r="E27" s="32">
        <f t="shared" si="13"/>
        <v>1001.9156019100001</v>
      </c>
      <c r="F27" s="32">
        <f t="shared" si="13"/>
        <v>1038.3150377400002</v>
      </c>
      <c r="G27" s="32">
        <f t="shared" si="13"/>
        <v>1019.3610247896402</v>
      </c>
      <c r="H27" s="32">
        <f t="shared" si="13"/>
        <v>1034.3558942601003</v>
      </c>
      <c r="I27" s="32">
        <f t="shared" si="13"/>
        <v>1059.7202927265798</v>
      </c>
      <c r="J27" s="32">
        <f t="shared" si="13"/>
        <v>1066.5745790406495</v>
      </c>
      <c r="K27" s="32">
        <f t="shared" si="13"/>
        <v>1277.9006265872415</v>
      </c>
      <c r="L27" s="32"/>
      <c r="M27" s="72"/>
    </row>
    <row r="28" spans="1:17" x14ac:dyDescent="0.2">
      <c r="A28" s="33" t="s">
        <v>98</v>
      </c>
      <c r="B28" s="34">
        <f>'2011 MC Topline 12YA'!H18</f>
        <v>70.089633232016212</v>
      </c>
      <c r="C28" s="34">
        <f>'2012 Topline Reports'!J18</f>
        <v>69.178467999999995</v>
      </c>
      <c r="D28" s="34">
        <f>'2013-2015'!B32</f>
        <v>92.400855459999988</v>
      </c>
      <c r="E28" s="34">
        <f>'2013-2015'!C32</f>
        <v>91.899053240000001</v>
      </c>
      <c r="F28" s="34">
        <f>'2013-2015'!D32</f>
        <v>97.038867480000008</v>
      </c>
      <c r="G28" s="34">
        <f>'2016-2021YTD'!G33</f>
        <v>89.755052937131111</v>
      </c>
      <c r="H28" s="34">
        <f>'2016-2021YTD'!H33</f>
        <v>92.948771931990748</v>
      </c>
      <c r="I28" s="34">
        <f>'2016-2021YTD'!I33</f>
        <v>93.386555569162113</v>
      </c>
      <c r="J28" s="34">
        <f>'2016-2021YTD'!J33</f>
        <v>93.47530751531545</v>
      </c>
      <c r="K28" s="34">
        <f>'2016-2021YTD'!K33</f>
        <v>110.64607784386017</v>
      </c>
      <c r="L28" s="34"/>
      <c r="M28" s="72"/>
    </row>
    <row r="29" spans="1:17" x14ac:dyDescent="0.2">
      <c r="A29" s="26" t="s">
        <v>82</v>
      </c>
      <c r="B29" s="27">
        <f t="shared" ref="B29:C29" si="14">B4+B6+B8+B10+B12+B14+B16+B18+B20+B22+B24+B26+B28</f>
        <v>829.15274623883749</v>
      </c>
      <c r="C29" s="27">
        <f t="shared" si="14"/>
        <v>843.796245</v>
      </c>
      <c r="D29" s="27">
        <f t="shared" ref="D29" si="15">D4+D6+D8+D10+D12+D14+D16+D18+D20+D22+D24+D26+D28</f>
        <v>1063.6817052199999</v>
      </c>
      <c r="E29" s="27">
        <f t="shared" ref="E29" si="16">E4+E6+E8+E10+E12+E14+E16+E18+E20+E22+E24+E26+E28</f>
        <v>1093.8146551500001</v>
      </c>
      <c r="F29" s="27">
        <f t="shared" ref="F29" si="17">F4+F6+F8+F10+F12+F14+F16+F18+F20+F22+F24+F26+F28</f>
        <v>1135.3539052200001</v>
      </c>
      <c r="G29" s="27">
        <f t="shared" ref="G29:L29" si="18">G4+G6+G8+G10+G12+G14+G16+G18+G20+G22+G24+G26+G28</f>
        <v>1109.1160777267712</v>
      </c>
      <c r="H29" s="27">
        <f t="shared" si="18"/>
        <v>1127.304666192091</v>
      </c>
      <c r="I29" s="27">
        <f t="shared" si="18"/>
        <v>1153.1068482957419</v>
      </c>
      <c r="J29" s="27">
        <f t="shared" si="18"/>
        <v>1160.049886555965</v>
      </c>
      <c r="K29" s="27">
        <f t="shared" si="18"/>
        <v>1388.5467044311017</v>
      </c>
      <c r="L29" s="27">
        <f t="shared" si="18"/>
        <v>919.47702726905982</v>
      </c>
      <c r="M29" s="35" t="s">
        <v>83</v>
      </c>
      <c r="P29" s="30"/>
    </row>
    <row r="30" spans="1:17" ht="13.5" x14ac:dyDescent="0.25">
      <c r="A30" s="22" t="s">
        <v>108</v>
      </c>
      <c r="B30" s="73"/>
      <c r="C30" s="73">
        <f t="shared" ref="C30" si="19">(C29-B29)/B29</f>
        <v>1.7660797516003697E-2</v>
      </c>
      <c r="D30" s="73">
        <f>(D29-C29)/C29</f>
        <v>0.26059070720325367</v>
      </c>
      <c r="E30" s="73">
        <f t="shared" ref="E30:K30" si="20">(E29-D29)/D29</f>
        <v>2.8328916236993906E-2</v>
      </c>
      <c r="F30" s="73">
        <f t="shared" si="20"/>
        <v>3.7976498005782802E-2</v>
      </c>
      <c r="G30" s="73">
        <f t="shared" si="20"/>
        <v>-2.3109822736853795E-2</v>
      </c>
      <c r="H30" s="73">
        <f t="shared" si="20"/>
        <v>1.639917482992297E-2</v>
      </c>
      <c r="I30" s="73">
        <f t="shared" si="20"/>
        <v>2.2888384016725313E-2</v>
      </c>
      <c r="J30" s="73">
        <f t="shared" si="20"/>
        <v>6.02115777083863E-3</v>
      </c>
      <c r="K30" s="73">
        <f t="shared" si="20"/>
        <v>0.19697154451996335</v>
      </c>
      <c r="L30" s="73"/>
      <c r="M30" s="37"/>
      <c r="Q30" s="38"/>
    </row>
    <row r="31" spans="1:17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40"/>
    </row>
    <row r="32" spans="1:17" ht="13.5" x14ac:dyDescent="0.25">
      <c r="A32" s="41" t="s">
        <v>168</v>
      </c>
      <c r="B32" s="41"/>
      <c r="C32" s="41"/>
      <c r="D32" s="41"/>
      <c r="E32" s="41"/>
      <c r="F32" s="41"/>
      <c r="G32" s="39"/>
      <c r="H32" s="39"/>
      <c r="I32" s="39"/>
      <c r="J32" s="39"/>
      <c r="K32" s="39"/>
      <c r="L32" s="39"/>
      <c r="M32" s="40"/>
    </row>
    <row r="33" spans="1:17" ht="13.5" x14ac:dyDescent="0.25">
      <c r="A33" s="41" t="s">
        <v>167</v>
      </c>
      <c r="B33" s="41"/>
      <c r="C33" s="42"/>
      <c r="D33" s="42"/>
      <c r="E33" s="42"/>
      <c r="F33" s="42"/>
      <c r="G33" s="43"/>
      <c r="H33" s="43"/>
      <c r="I33" s="43"/>
      <c r="J33" s="43"/>
      <c r="K33" s="43"/>
      <c r="L33" s="43"/>
      <c r="M33" s="39"/>
    </row>
    <row r="34" spans="1:17" ht="13.5" x14ac:dyDescent="0.25">
      <c r="A34" s="41" t="s">
        <v>166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39"/>
    </row>
    <row r="35" spans="1:17" s="43" customFormat="1" x14ac:dyDescent="0.2">
      <c r="A35" s="36"/>
      <c r="B35" s="36"/>
      <c r="C35" s="36"/>
      <c r="D35" s="36"/>
      <c r="E35" s="36"/>
      <c r="F35" s="36"/>
      <c r="G35" s="25"/>
      <c r="H35" s="25"/>
      <c r="I35" s="25"/>
      <c r="J35" s="25"/>
      <c r="K35" s="25"/>
      <c r="L35" s="25"/>
      <c r="P35" s="45"/>
      <c r="Q35" s="45"/>
    </row>
    <row r="36" spans="1:17" s="44" customFormat="1" x14ac:dyDescent="0.2">
      <c r="A36" s="36"/>
      <c r="B36" s="36"/>
      <c r="C36" s="36"/>
      <c r="D36" s="36"/>
      <c r="E36" s="36"/>
      <c r="F36" s="36"/>
      <c r="G36" s="25"/>
      <c r="H36" s="25"/>
      <c r="I36" s="25"/>
      <c r="J36" s="25"/>
      <c r="K36" s="25"/>
      <c r="L36" s="25"/>
    </row>
    <row r="37" spans="1:17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</row>
    <row r="38" spans="1:17" s="43" customFormat="1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P38" s="45"/>
      <c r="Q38" s="45"/>
    </row>
    <row r="39" spans="1:17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</row>
    <row r="40" spans="1:17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</row>
    <row r="42" spans="1:17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</row>
  </sheetData>
  <sheetProtection algorithmName="SHA-512" hashValue="6Fi9T/2BKpTibX65n6eU/s/10oi271epL0bVO04jzMXHx7HE0C2t8cUERlAdMzzlm91KrkkeMCiEtmyesoLDMQ==" saltValue="/tz17+yXSXAV7frHrFwWUw==" spinCount="100000" sheet="1" objects="1" scenarios="1"/>
  <mergeCells count="2">
    <mergeCell ref="A1:M1"/>
    <mergeCell ref="A2:M2"/>
  </mergeCells>
  <pageMargins left="0.2" right="0.15" top="1" bottom="1" header="0.5" footer="0.5"/>
  <pageSetup scale="65" orientation="landscape" horizontalDpi="300" verticalDpi="300" r:id="rId1"/>
  <headerFooter alignWithMargins="0"/>
  <ignoredErrors>
    <ignoredError sqref="B14:L19 B22:L28 B20:L20 B21:K2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CA410F6-0E37-4EE5-B523-6FF10CF2F968}">
            <xm:f>NOT(ISERROR(SEARCH("-",M4)))</xm:f>
            <xm:f>"-"</xm:f>
            <x14:dxf>
              <font>
                <color rgb="FFFF0000"/>
              </font>
            </x14:dxf>
          </x14:cfRule>
          <xm:sqref>M4:M28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AB325-2723-44A3-8F29-0933FF64629B}">
  <sheetPr>
    <pageSetUpPr fitToPage="1"/>
  </sheetPr>
  <dimension ref="A1:Q42"/>
  <sheetViews>
    <sheetView zoomScale="110" zoomScaleNormal="11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sqref="A1:M1"/>
    </sheetView>
  </sheetViews>
  <sheetFormatPr defaultColWidth="9.140625" defaultRowHeight="12.75" x14ac:dyDescent="0.2"/>
  <cols>
    <col min="1" max="1" width="12.85546875" style="19" customWidth="1"/>
    <col min="2" max="13" width="8" style="19" customWidth="1"/>
    <col min="14" max="16" width="9.140625" style="19"/>
    <col min="17" max="17" width="10.28515625" style="19" customWidth="1"/>
    <col min="18" max="16384" width="9.140625" style="19"/>
  </cols>
  <sheetData>
    <row r="1" spans="1:17" ht="20.25" x14ac:dyDescent="0.3">
      <c r="A1" s="115" t="s">
        <v>79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7" ht="15.75" x14ac:dyDescent="0.25">
      <c r="A2" s="116" t="s">
        <v>169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7" ht="18" x14ac:dyDescent="0.25">
      <c r="A3" s="20"/>
      <c r="B3" s="21">
        <v>2011</v>
      </c>
      <c r="C3" s="21">
        <v>2012</v>
      </c>
      <c r="D3" s="21">
        <v>2013</v>
      </c>
      <c r="E3" s="21">
        <v>2014</v>
      </c>
      <c r="F3" s="21">
        <v>2015</v>
      </c>
      <c r="G3" s="21">
        <v>2016</v>
      </c>
      <c r="H3" s="21">
        <v>2017</v>
      </c>
      <c r="I3" s="21">
        <v>2018</v>
      </c>
      <c r="J3" s="21">
        <v>2019</v>
      </c>
      <c r="K3" s="21">
        <v>2020</v>
      </c>
      <c r="L3" s="74">
        <v>2021</v>
      </c>
      <c r="M3" s="22" t="s">
        <v>108</v>
      </c>
    </row>
    <row r="4" spans="1:17" x14ac:dyDescent="0.2">
      <c r="A4" s="23" t="s">
        <v>86</v>
      </c>
      <c r="B4" s="46">
        <f>'2011 MC Topline 12YA'!I6</f>
        <v>17.32627272727273</v>
      </c>
      <c r="C4" s="46">
        <f>'2012 Topline Reports'!K6</f>
        <v>17.343599000000001</v>
      </c>
      <c r="D4" s="46">
        <f>'2013-2015'!G8</f>
        <v>22.1057582</v>
      </c>
      <c r="E4" s="46">
        <f>'2013-2015'!H8</f>
        <v>22.806919910000001</v>
      </c>
      <c r="F4" s="46">
        <f>'2013-2015'!I8</f>
        <v>23.325482709999999</v>
      </c>
      <c r="G4" s="46">
        <f>'2016-2021YTD'!O9</f>
        <v>24.195100571956964</v>
      </c>
      <c r="H4" s="46">
        <f>'2016-2021YTD'!P9</f>
        <v>23.726903035992109</v>
      </c>
      <c r="I4" s="46">
        <f>'2016-2021YTD'!Q9</f>
        <v>24.451366510069207</v>
      </c>
      <c r="J4" s="46">
        <f>'2016-2021YTD'!R9</f>
        <v>24.762768151360365</v>
      </c>
      <c r="K4" s="46">
        <f>'2016-2021YTD'!S9</f>
        <v>24.445411728062069</v>
      </c>
      <c r="L4" s="46">
        <f>'2016-2021YTD'!T9</f>
        <v>27.523821585162047</v>
      </c>
      <c r="M4" s="73">
        <f>(L4-K4)/K4</f>
        <v>0.12592996556348127</v>
      </c>
    </row>
    <row r="5" spans="1:17" x14ac:dyDescent="0.2">
      <c r="A5" s="26" t="s">
        <v>81</v>
      </c>
      <c r="B5" s="47">
        <f t="shared" ref="B5:L5" si="0">SUM(B4)</f>
        <v>17.32627272727273</v>
      </c>
      <c r="C5" s="47">
        <f t="shared" si="0"/>
        <v>17.343599000000001</v>
      </c>
      <c r="D5" s="47">
        <f t="shared" si="0"/>
        <v>22.1057582</v>
      </c>
      <c r="E5" s="47">
        <f t="shared" si="0"/>
        <v>22.806919910000001</v>
      </c>
      <c r="F5" s="47">
        <f t="shared" si="0"/>
        <v>23.325482709999999</v>
      </c>
      <c r="G5" s="47">
        <f t="shared" si="0"/>
        <v>24.195100571956964</v>
      </c>
      <c r="H5" s="47">
        <f t="shared" si="0"/>
        <v>23.726903035992109</v>
      </c>
      <c r="I5" s="47">
        <f t="shared" si="0"/>
        <v>24.451366510069207</v>
      </c>
      <c r="J5" s="47">
        <f t="shared" si="0"/>
        <v>24.762768151360365</v>
      </c>
      <c r="K5" s="47">
        <f t="shared" si="0"/>
        <v>24.445411728062069</v>
      </c>
      <c r="L5" s="47">
        <f t="shared" si="0"/>
        <v>27.523821585162047</v>
      </c>
      <c r="M5" s="73">
        <f t="shared" ref="M5:M21" si="1">(L5-K5)/K5</f>
        <v>0.12592996556348127</v>
      </c>
    </row>
    <row r="6" spans="1:17" x14ac:dyDescent="0.2">
      <c r="A6" s="23" t="s">
        <v>87</v>
      </c>
      <c r="B6" s="48">
        <f>'2011 MC Topline 12YA'!I7</f>
        <v>16.680536779324054</v>
      </c>
      <c r="C6" s="48">
        <f>'2012 Topline Reports'!K7</f>
        <v>16.780619999999999</v>
      </c>
      <c r="D6" s="48">
        <f>'2013-2015'!G10</f>
        <v>21.90623862</v>
      </c>
      <c r="E6" s="48">
        <f>'2013-2015'!H10</f>
        <v>22.348349690000003</v>
      </c>
      <c r="F6" s="48">
        <f>'2013-2015'!I10</f>
        <v>22.8849543</v>
      </c>
      <c r="G6" s="48">
        <f>'2016-2021YTD'!O11</f>
        <v>22.81258618993855</v>
      </c>
      <c r="H6" s="48">
        <f>'2016-2021YTD'!P11</f>
        <v>23.193198410189868</v>
      </c>
      <c r="I6" s="48">
        <f>'2016-2021YTD'!Q11</f>
        <v>23.318280283048804</v>
      </c>
      <c r="J6" s="48">
        <f>'2016-2021YTD'!R11</f>
        <v>23.045778853778184</v>
      </c>
      <c r="K6" s="48">
        <f>'2016-2021YTD'!S11</f>
        <v>23.307463491165095</v>
      </c>
      <c r="L6" s="48">
        <f>'2016-2021YTD'!T11</f>
        <v>26.588157435114852</v>
      </c>
      <c r="M6" s="73">
        <f t="shared" si="1"/>
        <v>0.14075722762338913</v>
      </c>
    </row>
    <row r="7" spans="1:17" x14ac:dyDescent="0.2">
      <c r="A7" s="26" t="s">
        <v>81</v>
      </c>
      <c r="B7" s="47">
        <f t="shared" ref="B7:L7" si="2">SUM(B5:B6)</f>
        <v>34.006809506596781</v>
      </c>
      <c r="C7" s="47">
        <f t="shared" si="2"/>
        <v>34.124218999999997</v>
      </c>
      <c r="D7" s="47">
        <f t="shared" si="2"/>
        <v>44.01199682</v>
      </c>
      <c r="E7" s="47">
        <f t="shared" si="2"/>
        <v>45.155269600000004</v>
      </c>
      <c r="F7" s="47">
        <f t="shared" si="2"/>
        <v>46.21043701</v>
      </c>
      <c r="G7" s="47">
        <f t="shared" si="2"/>
        <v>47.007686761895513</v>
      </c>
      <c r="H7" s="47">
        <f t="shared" si="2"/>
        <v>46.920101446181974</v>
      </c>
      <c r="I7" s="47">
        <f t="shared" si="2"/>
        <v>47.769646793118014</v>
      </c>
      <c r="J7" s="47">
        <f t="shared" si="2"/>
        <v>47.80854700513855</v>
      </c>
      <c r="K7" s="47">
        <f t="shared" si="2"/>
        <v>47.752875219227164</v>
      </c>
      <c r="L7" s="47">
        <f t="shared" si="2"/>
        <v>54.111979020276898</v>
      </c>
      <c r="M7" s="73">
        <f t="shared" si="1"/>
        <v>0.13316693019752057</v>
      </c>
    </row>
    <row r="8" spans="1:17" x14ac:dyDescent="0.2">
      <c r="A8" s="23" t="s">
        <v>88</v>
      </c>
      <c r="B8" s="48">
        <f>'2011 MC Topline 12YA'!I8</f>
        <v>16.409042355371902</v>
      </c>
      <c r="C8" s="48">
        <f>'2012 Topline Reports'!K8</f>
        <v>15.883953</v>
      </c>
      <c r="D8" s="48">
        <f>'2013-2015'!G12</f>
        <v>21.323533250000001</v>
      </c>
      <c r="E8" s="48">
        <f>'2013-2015'!H12</f>
        <v>21.437930699999999</v>
      </c>
      <c r="F8" s="48">
        <f>'2013-2015'!I12</f>
        <v>21.937221899999997</v>
      </c>
      <c r="G8" s="49">
        <f>'2016-2021YTD'!O13</f>
        <v>22.546875569331249</v>
      </c>
      <c r="H8" s="49">
        <f>'2016-2021YTD'!P13</f>
        <v>22.821487863815086</v>
      </c>
      <c r="I8" s="49">
        <f>'2016-2021YTD'!Q13</f>
        <v>23.131296496308103</v>
      </c>
      <c r="J8" s="49">
        <f>'2016-2021YTD'!R13</f>
        <v>22.621193459817601</v>
      </c>
      <c r="K8" s="49">
        <f>'2016-2021YTD'!S13</f>
        <v>26.040551718421284</v>
      </c>
      <c r="L8" s="49">
        <f>'2016-2021YTD'!T13</f>
        <v>25.172164028488485</v>
      </c>
      <c r="M8" s="73">
        <f t="shared" si="1"/>
        <v>-3.3347515034349101E-2</v>
      </c>
    </row>
    <row r="9" spans="1:17" x14ac:dyDescent="0.2">
      <c r="A9" s="26" t="s">
        <v>81</v>
      </c>
      <c r="B9" s="47">
        <f t="shared" ref="B9:L9" si="3">SUM(B7:B8)</f>
        <v>50.415851861968683</v>
      </c>
      <c r="C9" s="47">
        <f t="shared" si="3"/>
        <v>50.008171999999995</v>
      </c>
      <c r="D9" s="47">
        <f t="shared" si="3"/>
        <v>65.335530070000004</v>
      </c>
      <c r="E9" s="47">
        <f t="shared" si="3"/>
        <v>66.593200300000007</v>
      </c>
      <c r="F9" s="47">
        <f t="shared" si="3"/>
        <v>68.14765890999999</v>
      </c>
      <c r="G9" s="47">
        <f t="shared" si="3"/>
        <v>69.554562331226762</v>
      </c>
      <c r="H9" s="47">
        <f t="shared" si="3"/>
        <v>69.741589309997067</v>
      </c>
      <c r="I9" s="47">
        <f t="shared" si="3"/>
        <v>70.900943289426124</v>
      </c>
      <c r="J9" s="47">
        <f t="shared" si="3"/>
        <v>70.429740464956154</v>
      </c>
      <c r="K9" s="47">
        <f t="shared" si="3"/>
        <v>73.793426937648448</v>
      </c>
      <c r="L9" s="47">
        <f t="shared" si="3"/>
        <v>79.284143048765387</v>
      </c>
      <c r="M9" s="73">
        <f t="shared" si="1"/>
        <v>7.4406574392544528E-2</v>
      </c>
    </row>
    <row r="10" spans="1:17" x14ac:dyDescent="0.2">
      <c r="A10" s="23" t="s">
        <v>89</v>
      </c>
      <c r="B10" s="48">
        <f>'2011 MC Topline 12YA'!I9</f>
        <v>16.774601814516128</v>
      </c>
      <c r="C10" s="48">
        <f>'2012 Topline Reports'!K9</f>
        <v>16.640405000000001</v>
      </c>
      <c r="D10" s="48">
        <f>'2013-2015'!G14</f>
        <v>20.497487329999998</v>
      </c>
      <c r="E10" s="48">
        <f>'2013-2015'!H14</f>
        <v>21.089641480000001</v>
      </c>
      <c r="F10" s="48">
        <f>'2013-2015'!I14</f>
        <v>21.767471149999999</v>
      </c>
      <c r="G10" s="49">
        <f>'2016-2021YTD'!O15</f>
        <v>22.207901223473925</v>
      </c>
      <c r="H10" s="49">
        <f>'2016-2021YTD'!P15</f>
        <v>22.291493242624341</v>
      </c>
      <c r="I10" s="49">
        <f>'2016-2021YTD'!Q15</f>
        <v>22.801611213831197</v>
      </c>
      <c r="J10" s="49">
        <f>'2016-2021YTD'!R15</f>
        <v>22.446912289497799</v>
      </c>
      <c r="K10" s="49">
        <f>'2016-2021YTD'!S15</f>
        <v>26.904977504156651</v>
      </c>
      <c r="L10" s="49">
        <f>'2016-2021YTD'!T15</f>
        <v>24.500033467928692</v>
      </c>
      <c r="M10" s="73">
        <f t="shared" si="1"/>
        <v>-8.9386584168539479E-2</v>
      </c>
    </row>
    <row r="11" spans="1:17" x14ac:dyDescent="0.2">
      <c r="A11" s="26" t="s">
        <v>81</v>
      </c>
      <c r="B11" s="47">
        <f t="shared" ref="B11:L11" si="4">SUM(B9:B10)</f>
        <v>67.190453676484807</v>
      </c>
      <c r="C11" s="47">
        <f t="shared" si="4"/>
        <v>66.648576999999989</v>
      </c>
      <c r="D11" s="47">
        <f t="shared" si="4"/>
        <v>85.833017400000003</v>
      </c>
      <c r="E11" s="47">
        <f t="shared" si="4"/>
        <v>87.682841780000004</v>
      </c>
      <c r="F11" s="47">
        <f t="shared" si="4"/>
        <v>89.915130059999996</v>
      </c>
      <c r="G11" s="47">
        <f t="shared" si="4"/>
        <v>91.762463554700687</v>
      </c>
      <c r="H11" s="47">
        <f t="shared" si="4"/>
        <v>92.033082552621408</v>
      </c>
      <c r="I11" s="47">
        <f t="shared" si="4"/>
        <v>93.702554503257318</v>
      </c>
      <c r="J11" s="47">
        <f t="shared" si="4"/>
        <v>92.876652754453957</v>
      </c>
      <c r="K11" s="47">
        <f t="shared" si="4"/>
        <v>100.6984044418051</v>
      </c>
      <c r="L11" s="47">
        <f t="shared" si="4"/>
        <v>103.78417651669407</v>
      </c>
      <c r="M11" s="73">
        <f t="shared" si="1"/>
        <v>3.0643703760691525E-2</v>
      </c>
    </row>
    <row r="12" spans="1:17" x14ac:dyDescent="0.2">
      <c r="A12" s="23" t="s">
        <v>90</v>
      </c>
      <c r="B12" s="48">
        <f>'2011 MC Topline 12YA'!I10</f>
        <v>15.292289370078741</v>
      </c>
      <c r="C12" s="48">
        <f>'2012 Topline Reports'!K10</f>
        <v>15.536966</v>
      </c>
      <c r="D12" s="48">
        <f>'2013-2015'!G16</f>
        <v>20.301598949999999</v>
      </c>
      <c r="E12" s="48">
        <f>'2013-2015'!H16</f>
        <v>20.88849218</v>
      </c>
      <c r="F12" s="48">
        <f>'2013-2015'!I16</f>
        <v>21.435690780000002</v>
      </c>
      <c r="G12" s="49">
        <f>'2016-2021YTD'!O17</f>
        <v>21.463943976397385</v>
      </c>
      <c r="H12" s="49">
        <f>'2016-2021YTD'!P17</f>
        <v>21.445946535001955</v>
      </c>
      <c r="I12" s="49">
        <f>'2016-2021YTD'!Q17</f>
        <v>21.776975611401863</v>
      </c>
      <c r="J12" s="49">
        <f>'2016-2021YTD'!R17</f>
        <v>21.079402400894224</v>
      </c>
      <c r="K12" s="49">
        <f>'2016-2021YTD'!S17</f>
        <v>28.16704387718363</v>
      </c>
      <c r="L12" s="49">
        <f>'2016-2021YTD'!T17</f>
        <v>23.830756145337276</v>
      </c>
      <c r="M12" s="73">
        <f t="shared" si="1"/>
        <v>-0.15394898203566584</v>
      </c>
      <c r="Q12" s="30"/>
    </row>
    <row r="13" spans="1:17" x14ac:dyDescent="0.2">
      <c r="A13" s="26" t="s">
        <v>81</v>
      </c>
      <c r="B13" s="47">
        <f t="shared" ref="B13:L13" si="5">SUM(B11:B12)</f>
        <v>82.482743046563542</v>
      </c>
      <c r="C13" s="47">
        <f t="shared" si="5"/>
        <v>82.185542999999996</v>
      </c>
      <c r="D13" s="47">
        <f t="shared" si="5"/>
        <v>106.13461635</v>
      </c>
      <c r="E13" s="47">
        <f t="shared" si="5"/>
        <v>108.57133396</v>
      </c>
      <c r="F13" s="47">
        <f t="shared" si="5"/>
        <v>111.35082084</v>
      </c>
      <c r="G13" s="47">
        <f t="shared" si="5"/>
        <v>113.22640753109808</v>
      </c>
      <c r="H13" s="47">
        <f t="shared" si="5"/>
        <v>113.47902908762336</v>
      </c>
      <c r="I13" s="47">
        <f t="shared" si="5"/>
        <v>115.47953011465918</v>
      </c>
      <c r="J13" s="47">
        <f t="shared" si="5"/>
        <v>113.95605515534818</v>
      </c>
      <c r="K13" s="47">
        <f t="shared" si="5"/>
        <v>128.86544831898874</v>
      </c>
      <c r="L13" s="47">
        <f t="shared" si="5"/>
        <v>127.61493266203135</v>
      </c>
      <c r="M13" s="73">
        <f t="shared" si="1"/>
        <v>-9.704041488777581E-3</v>
      </c>
    </row>
    <row r="14" spans="1:17" x14ac:dyDescent="0.2">
      <c r="A14" s="23" t="s">
        <v>91</v>
      </c>
      <c r="B14" s="48">
        <f>'2011 MC Topline 12YA'!I11</f>
        <v>15.090811965811966</v>
      </c>
      <c r="C14" s="48">
        <f>'2012 Topline Reports'!K11</f>
        <v>15.890625</v>
      </c>
      <c r="D14" s="48">
        <f>'2013-2015'!G18</f>
        <v>19.75369774</v>
      </c>
      <c r="E14" s="48">
        <f>'2013-2015'!H18</f>
        <v>20.080214659999999</v>
      </c>
      <c r="F14" s="48">
        <f>'2013-2015'!I18</f>
        <v>20.758777769999998</v>
      </c>
      <c r="G14" s="48">
        <f>'2016-2021YTD'!O19</f>
        <v>20.962089873632799</v>
      </c>
      <c r="H14" s="48">
        <f>'2016-2021YTD'!P19</f>
        <v>20.915613617933762</v>
      </c>
      <c r="I14" s="48">
        <f>'2016-2021YTD'!Q19</f>
        <v>21.562212167273618</v>
      </c>
      <c r="J14" s="48">
        <f>'2016-2021YTD'!R19</f>
        <v>20.829942390949213</v>
      </c>
      <c r="K14" s="48">
        <f>'2016-2021YTD'!S19</f>
        <v>26.197289644185449</v>
      </c>
      <c r="L14" s="48">
        <f>'2016-2021YTD'!T19</f>
        <v>22.699019860600899</v>
      </c>
      <c r="M14" s="73">
        <f t="shared" si="1"/>
        <v>-0.13353556154466537</v>
      </c>
    </row>
    <row r="15" spans="1:17" x14ac:dyDescent="0.2">
      <c r="A15" s="26" t="s">
        <v>81</v>
      </c>
      <c r="B15" s="47">
        <f t="shared" ref="B15:L15" si="6">SUM(B13:B14)</f>
        <v>97.573555012375508</v>
      </c>
      <c r="C15" s="47">
        <f t="shared" si="6"/>
        <v>98.076167999999996</v>
      </c>
      <c r="D15" s="47">
        <f t="shared" si="6"/>
        <v>125.88831408999999</v>
      </c>
      <c r="E15" s="47">
        <f t="shared" si="6"/>
        <v>128.65154862</v>
      </c>
      <c r="F15" s="47">
        <f t="shared" si="6"/>
        <v>132.10959861000001</v>
      </c>
      <c r="G15" s="47">
        <f t="shared" si="6"/>
        <v>134.18849740473087</v>
      </c>
      <c r="H15" s="47">
        <f t="shared" si="6"/>
        <v>134.39464270555712</v>
      </c>
      <c r="I15" s="47">
        <f t="shared" si="6"/>
        <v>137.04174228193281</v>
      </c>
      <c r="J15" s="47">
        <f t="shared" si="6"/>
        <v>134.78599754629738</v>
      </c>
      <c r="K15" s="47">
        <f t="shared" si="6"/>
        <v>155.06273796317419</v>
      </c>
      <c r="L15" s="47">
        <f t="shared" si="6"/>
        <v>150.31395252263223</v>
      </c>
      <c r="M15" s="73">
        <f t="shared" si="1"/>
        <v>-3.0624929644088569E-2</v>
      </c>
    </row>
    <row r="16" spans="1:17" x14ac:dyDescent="0.2">
      <c r="A16" s="23" t="s">
        <v>92</v>
      </c>
      <c r="B16" s="48">
        <f>'2011 MC Topline 12YA'!I12</f>
        <v>14.601360591133005</v>
      </c>
      <c r="C16" s="48">
        <f>'2012 Topline Reports'!K12</f>
        <v>14.820380999999999</v>
      </c>
      <c r="D16" s="48">
        <f>'2013-2015'!G20</f>
        <v>19.069945100000002</v>
      </c>
      <c r="E16" s="48">
        <f>'2013-2015'!H20</f>
        <v>19.382348239999999</v>
      </c>
      <c r="F16" s="48">
        <f>'2013-2015'!I20</f>
        <v>20.243411429999998</v>
      </c>
      <c r="G16" s="48">
        <f>'2016-2021YTD'!O21</f>
        <v>20.052813876686923</v>
      </c>
      <c r="H16" s="48">
        <f>'2016-2021YTD'!P21</f>
        <v>20.418967613135429</v>
      </c>
      <c r="I16" s="48">
        <f>'2016-2021YTD'!Q21</f>
        <v>20.43556055483673</v>
      </c>
      <c r="J16" s="48">
        <f>'2016-2021YTD'!R21</f>
        <v>20.094380866754278</v>
      </c>
      <c r="K16" s="48">
        <f>'2016-2021YTD'!S21</f>
        <v>24.887607132237267</v>
      </c>
      <c r="L16" s="48">
        <f>'2016-2021YTD'!T21</f>
        <v>21.940757387067187</v>
      </c>
      <c r="M16" s="73">
        <f t="shared" si="1"/>
        <v>-0.11840631080008431</v>
      </c>
    </row>
    <row r="17" spans="1:17" x14ac:dyDescent="0.2">
      <c r="A17" s="26" t="s">
        <v>81</v>
      </c>
      <c r="B17" s="47">
        <f t="shared" ref="B17:L17" si="7">SUM(B15:B16)</f>
        <v>112.17491560350851</v>
      </c>
      <c r="C17" s="47">
        <f t="shared" si="7"/>
        <v>112.89654899999999</v>
      </c>
      <c r="D17" s="47">
        <f t="shared" si="7"/>
        <v>144.95825919000001</v>
      </c>
      <c r="E17" s="47">
        <f t="shared" si="7"/>
        <v>148.03389686</v>
      </c>
      <c r="F17" s="47">
        <f t="shared" si="7"/>
        <v>152.35301004000002</v>
      </c>
      <c r="G17" s="47">
        <f t="shared" si="7"/>
        <v>154.24131128141778</v>
      </c>
      <c r="H17" s="47">
        <f t="shared" si="7"/>
        <v>154.81361031869255</v>
      </c>
      <c r="I17" s="47">
        <f t="shared" si="7"/>
        <v>157.47730283676955</v>
      </c>
      <c r="J17" s="47">
        <f t="shared" si="7"/>
        <v>154.88037841305166</v>
      </c>
      <c r="K17" s="47">
        <f t="shared" si="7"/>
        <v>179.95034509541145</v>
      </c>
      <c r="L17" s="47">
        <f t="shared" si="7"/>
        <v>172.25470990969941</v>
      </c>
      <c r="M17" s="73">
        <f t="shared" si="1"/>
        <v>-4.2765326077211653E-2</v>
      </c>
    </row>
    <row r="18" spans="1:17" x14ac:dyDescent="0.2">
      <c r="A18" s="23" t="s">
        <v>93</v>
      </c>
      <c r="B18" s="48">
        <f>'2011 MC Topline 12YA'!I13</f>
        <v>14.304973477406678</v>
      </c>
      <c r="C18" s="48">
        <f>'2012 Topline Reports'!K13</f>
        <v>14.562462999999999</v>
      </c>
      <c r="D18" s="48">
        <f>'2013-2015'!G22</f>
        <v>18.914767269999999</v>
      </c>
      <c r="E18" s="48">
        <f>'2013-2015'!H22</f>
        <v>19.020882870000001</v>
      </c>
      <c r="F18" s="48">
        <f>'2013-2015'!I22</f>
        <v>19.999065909999999</v>
      </c>
      <c r="G18" s="48">
        <f>'2016-2021YTD'!O23</f>
        <v>19.578993911199294</v>
      </c>
      <c r="H18" s="48">
        <f>'2016-2021YTD'!P23</f>
        <v>20.11326360973014</v>
      </c>
      <c r="I18" s="48">
        <f>'2016-2021YTD'!Q23</f>
        <v>20.090601276025943</v>
      </c>
      <c r="J18" s="48">
        <f>'2016-2021YTD'!R23</f>
        <v>19.750887307396251</v>
      </c>
      <c r="K18" s="48">
        <f>'2016-2021YTD'!S23</f>
        <v>24.258777790810843</v>
      </c>
      <c r="L18" s="48">
        <f>'2016-2021YTD'!T23</f>
        <v>21.225234003687916</v>
      </c>
      <c r="M18" s="73">
        <f t="shared" si="1"/>
        <v>-0.12504932496112911</v>
      </c>
    </row>
    <row r="19" spans="1:17" x14ac:dyDescent="0.2">
      <c r="A19" s="26" t="s">
        <v>81</v>
      </c>
      <c r="B19" s="47">
        <f t="shared" ref="B19:L19" si="8">SUM(B17:B18)</f>
        <v>126.47988908091519</v>
      </c>
      <c r="C19" s="47">
        <f t="shared" si="8"/>
        <v>127.45901199999999</v>
      </c>
      <c r="D19" s="47">
        <f t="shared" si="8"/>
        <v>163.87302646000001</v>
      </c>
      <c r="E19" s="47">
        <f t="shared" si="8"/>
        <v>167.05477973000001</v>
      </c>
      <c r="F19" s="47">
        <f t="shared" si="8"/>
        <v>172.35207595000003</v>
      </c>
      <c r="G19" s="47">
        <f t="shared" si="8"/>
        <v>173.82030519261707</v>
      </c>
      <c r="H19" s="47">
        <f t="shared" si="8"/>
        <v>174.92687392842271</v>
      </c>
      <c r="I19" s="47">
        <f t="shared" si="8"/>
        <v>177.5679041127955</v>
      </c>
      <c r="J19" s="47">
        <f t="shared" si="8"/>
        <v>174.63126572044791</v>
      </c>
      <c r="K19" s="47">
        <f t="shared" si="8"/>
        <v>204.2091228862223</v>
      </c>
      <c r="L19" s="47">
        <f t="shared" si="8"/>
        <v>193.47994391338733</v>
      </c>
      <c r="M19" s="73">
        <f t="shared" si="1"/>
        <v>-5.2540155019483975E-2</v>
      </c>
      <c r="Q19" s="31"/>
    </row>
    <row r="20" spans="1:17" x14ac:dyDescent="0.2">
      <c r="A20" s="23" t="s">
        <v>94</v>
      </c>
      <c r="B20" s="48">
        <f>'2011 MC Topline 12YA'!I14</f>
        <v>14.564368217054263</v>
      </c>
      <c r="C20" s="48">
        <f>'2012 Topline Reports'!K14</f>
        <v>15.030428000000001</v>
      </c>
      <c r="D20" s="48">
        <f>'2013-2015'!G24</f>
        <v>19.292752180000001</v>
      </c>
      <c r="E20" s="48">
        <f>'2013-2015'!H24</f>
        <v>20.02403666</v>
      </c>
      <c r="F20" s="48">
        <f>'2013-2015'!I24</f>
        <v>20.464856449999999</v>
      </c>
      <c r="G20" s="48">
        <f>'2016-2021YTD'!O25</f>
        <v>19.846764860775796</v>
      </c>
      <c r="H20" s="48">
        <f>'2016-2021YTD'!P25</f>
        <v>20.423095434993719</v>
      </c>
      <c r="I20" s="48">
        <f>'2016-2021YTD'!Q25</f>
        <v>20.503188800036266</v>
      </c>
      <c r="J20" s="48">
        <f>'2016-2021YTD'!R25</f>
        <v>20.137368627878157</v>
      </c>
      <c r="K20" s="48">
        <f>'2016-2021YTD'!S25</f>
        <v>23.928075400173306</v>
      </c>
      <c r="L20" s="48">
        <f>'2016-2021YTD'!T25</f>
        <v>21.605678024766167</v>
      </c>
      <c r="M20" s="73">
        <f t="shared" si="1"/>
        <v>-9.7057424659833622E-2</v>
      </c>
    </row>
    <row r="21" spans="1:17" x14ac:dyDescent="0.2">
      <c r="A21" s="26" t="s">
        <v>81</v>
      </c>
      <c r="B21" s="47">
        <f t="shared" ref="B21:K21" si="9">SUM(B19:B20)</f>
        <v>141.04425729796944</v>
      </c>
      <c r="C21" s="47">
        <f t="shared" si="9"/>
        <v>142.48944</v>
      </c>
      <c r="D21" s="47">
        <f t="shared" si="9"/>
        <v>183.16577864000001</v>
      </c>
      <c r="E21" s="47">
        <f t="shared" si="9"/>
        <v>187.07881639000001</v>
      </c>
      <c r="F21" s="47">
        <f t="shared" si="9"/>
        <v>192.81693240000004</v>
      </c>
      <c r="G21" s="47">
        <f t="shared" si="9"/>
        <v>193.66707005339288</v>
      </c>
      <c r="H21" s="47">
        <f t="shared" si="9"/>
        <v>195.34996936341642</v>
      </c>
      <c r="I21" s="47">
        <f t="shared" si="9"/>
        <v>198.07109291283177</v>
      </c>
      <c r="J21" s="47">
        <f t="shared" si="9"/>
        <v>194.76863434832606</v>
      </c>
      <c r="K21" s="47">
        <f t="shared" si="9"/>
        <v>228.1371982863956</v>
      </c>
      <c r="L21" s="47">
        <f>SUM(L19:L20)</f>
        <v>215.08562193815351</v>
      </c>
      <c r="M21" s="73">
        <f t="shared" si="1"/>
        <v>-5.7209330377843919E-2</v>
      </c>
    </row>
    <row r="22" spans="1:17" x14ac:dyDescent="0.2">
      <c r="A22" s="23" t="s">
        <v>95</v>
      </c>
      <c r="B22" s="48">
        <f>'2011 MC Topline 12YA'!I15</f>
        <v>14.533236917221695</v>
      </c>
      <c r="C22" s="48">
        <f>'2012 Topline Reports'!K15</f>
        <v>15.274431999999999</v>
      </c>
      <c r="D22" s="48">
        <f>'2013-2015'!G26</f>
        <v>19.784059289999998</v>
      </c>
      <c r="E22" s="48">
        <f>'2013-2015'!H26</f>
        <v>20.620442180000001</v>
      </c>
      <c r="F22" s="48">
        <f>'2013-2015'!I26</f>
        <v>21.069795410000001</v>
      </c>
      <c r="G22" s="48">
        <f>'2016-2021YTD'!O27</f>
        <v>19.995289089845244</v>
      </c>
      <c r="H22" s="48">
        <f>'2016-2021YTD'!P27</f>
        <v>20.683941466677041</v>
      </c>
      <c r="I22" s="48">
        <f>'2016-2021YTD'!Q27</f>
        <v>20.63241824564977</v>
      </c>
      <c r="J22" s="48">
        <f>'2016-2021YTD'!R27</f>
        <v>20.296425969704345</v>
      </c>
      <c r="K22" s="48">
        <f>'2016-2021YTD'!S27</f>
        <v>24.055765510912398</v>
      </c>
      <c r="L22" s="48"/>
      <c r="M22" s="73"/>
    </row>
    <row r="23" spans="1:17" x14ac:dyDescent="0.2">
      <c r="A23" s="26" t="s">
        <v>81</v>
      </c>
      <c r="B23" s="47">
        <f t="shared" ref="B23:K23" si="10">SUM(B21:B22)</f>
        <v>155.57749421519114</v>
      </c>
      <c r="C23" s="47">
        <f t="shared" si="10"/>
        <v>157.76387199999999</v>
      </c>
      <c r="D23" s="47">
        <f t="shared" si="10"/>
        <v>202.94983793</v>
      </c>
      <c r="E23" s="47">
        <f t="shared" si="10"/>
        <v>207.69925857000001</v>
      </c>
      <c r="F23" s="47">
        <f t="shared" si="10"/>
        <v>213.88672781000005</v>
      </c>
      <c r="G23" s="47">
        <f t="shared" si="10"/>
        <v>213.66235914323812</v>
      </c>
      <c r="H23" s="47">
        <f t="shared" si="10"/>
        <v>216.03391083009348</v>
      </c>
      <c r="I23" s="47">
        <f t="shared" si="10"/>
        <v>218.70351115848155</v>
      </c>
      <c r="J23" s="47">
        <f t="shared" si="10"/>
        <v>215.06506031803042</v>
      </c>
      <c r="K23" s="47">
        <f t="shared" si="10"/>
        <v>252.19296379730801</v>
      </c>
      <c r="L23" s="47"/>
      <c r="M23" s="73"/>
    </row>
    <row r="24" spans="1:17" x14ac:dyDescent="0.2">
      <c r="A24" s="23" t="s">
        <v>96</v>
      </c>
      <c r="B24" s="48">
        <f>'2011 MC Topline 12YA'!I16</f>
        <v>14.774882237487736</v>
      </c>
      <c r="C24" s="48">
        <f>'2012 Topline Reports'!K16</f>
        <v>15.055605</v>
      </c>
      <c r="D24" s="48">
        <f>'2013-2015'!G28</f>
        <v>20.125931050000002</v>
      </c>
      <c r="E24" s="48">
        <f>'2013-2015'!H28</f>
        <v>20.565687359999998</v>
      </c>
      <c r="F24" s="48">
        <f>'2013-2015'!I28</f>
        <v>21.137839100000001</v>
      </c>
      <c r="G24" s="48">
        <f>'2016-2021YTD'!O29</f>
        <v>20.619196759891906</v>
      </c>
      <c r="H24" s="48">
        <f>'2016-2021YTD'!P29</f>
        <v>20.952403249129926</v>
      </c>
      <c r="I24" s="48">
        <f>'2016-2021YTD'!Q29</f>
        <v>21.049443277752349</v>
      </c>
      <c r="J24" s="48">
        <f>'2016-2021YTD'!R29</f>
        <v>20.482215158242369</v>
      </c>
      <c r="K24" s="48">
        <f>'2016-2021YTD'!S29</f>
        <v>24.176903494165163</v>
      </c>
      <c r="L24" s="48"/>
      <c r="M24" s="73"/>
    </row>
    <row r="25" spans="1:17" x14ac:dyDescent="0.2">
      <c r="A25" s="26" t="s">
        <v>81</v>
      </c>
      <c r="B25" s="50">
        <f t="shared" ref="B25:K25" si="11">SUM(B23:B24)</f>
        <v>170.35237645267887</v>
      </c>
      <c r="C25" s="50">
        <f t="shared" si="11"/>
        <v>172.81947700000001</v>
      </c>
      <c r="D25" s="50">
        <f t="shared" si="11"/>
        <v>223.07576897999999</v>
      </c>
      <c r="E25" s="50">
        <f t="shared" si="11"/>
        <v>228.26494593000001</v>
      </c>
      <c r="F25" s="50">
        <f t="shared" si="11"/>
        <v>235.02456691000006</v>
      </c>
      <c r="G25" s="50">
        <f t="shared" si="11"/>
        <v>234.28155590313003</v>
      </c>
      <c r="H25" s="50">
        <f t="shared" si="11"/>
        <v>236.9863140792234</v>
      </c>
      <c r="I25" s="50">
        <f t="shared" si="11"/>
        <v>239.75295443623389</v>
      </c>
      <c r="J25" s="50">
        <f t="shared" si="11"/>
        <v>235.54727547627277</v>
      </c>
      <c r="K25" s="50">
        <f t="shared" si="11"/>
        <v>276.36986729147316</v>
      </c>
      <c r="L25" s="50"/>
      <c r="M25" s="73"/>
    </row>
    <row r="26" spans="1:17" x14ac:dyDescent="0.2">
      <c r="A26" s="53" t="s">
        <v>97</v>
      </c>
      <c r="B26" s="48">
        <f>'2011 MC Topline 12YA'!I17</f>
        <v>16.516940944881888</v>
      </c>
      <c r="C26" s="48">
        <f>'2012 Topline Reports'!K17</f>
        <v>16.781212</v>
      </c>
      <c r="D26" s="48">
        <f>'2013-2015'!G30</f>
        <v>21.738558050000002</v>
      </c>
      <c r="E26" s="48">
        <f>'2013-2015'!H30</f>
        <v>22.262428499999999</v>
      </c>
      <c r="F26" s="48">
        <f>'2013-2015'!I30</f>
        <v>23.221460839999999</v>
      </c>
      <c r="G26" s="48">
        <f>'2016-2021YTD'!O31</f>
        <v>22.086850719124257</v>
      </c>
      <c r="H26" s="48">
        <f>'2016-2021YTD'!P31</f>
        <v>22.777613839382287</v>
      </c>
      <c r="I26" s="48">
        <f>'2016-2021YTD'!Q31</f>
        <v>22.97524854172698</v>
      </c>
      <c r="J26" s="48">
        <f>'2016-2021YTD'!R31</f>
        <v>22.959284270709851</v>
      </c>
      <c r="K26" s="48">
        <f>'2016-2021YTD'!S31</f>
        <v>25.765895189287953</v>
      </c>
      <c r="L26" s="48"/>
      <c r="M26" s="73"/>
    </row>
    <row r="27" spans="1:17" x14ac:dyDescent="0.2">
      <c r="A27" s="26" t="s">
        <v>81</v>
      </c>
      <c r="B27" s="50">
        <f t="shared" ref="B27:K27" si="12">SUM(B25:B26)</f>
        <v>186.86931739756076</v>
      </c>
      <c r="C27" s="50">
        <f t="shared" si="12"/>
        <v>189.60068900000002</v>
      </c>
      <c r="D27" s="50">
        <f t="shared" si="12"/>
        <v>244.81432702999999</v>
      </c>
      <c r="E27" s="50">
        <f t="shared" si="12"/>
        <v>250.52737443000001</v>
      </c>
      <c r="F27" s="50">
        <f t="shared" si="12"/>
        <v>258.24602775000005</v>
      </c>
      <c r="G27" s="50">
        <f t="shared" si="12"/>
        <v>256.36840662225427</v>
      </c>
      <c r="H27" s="50">
        <f t="shared" si="12"/>
        <v>259.7639279186057</v>
      </c>
      <c r="I27" s="50">
        <f t="shared" si="12"/>
        <v>262.72820297796085</v>
      </c>
      <c r="J27" s="50">
        <f t="shared" si="12"/>
        <v>258.50655974698265</v>
      </c>
      <c r="K27" s="50">
        <f t="shared" si="12"/>
        <v>302.13576248076112</v>
      </c>
      <c r="L27" s="50"/>
      <c r="M27" s="73"/>
    </row>
    <row r="28" spans="1:17" x14ac:dyDescent="0.2">
      <c r="A28" s="86" t="s">
        <v>98</v>
      </c>
      <c r="B28" s="51">
        <f>'2011 MC Topline 12YA'!I18</f>
        <v>17.3157164790174</v>
      </c>
      <c r="C28" s="51">
        <f>'2012 Topline Reports'!K18</f>
        <v>16.917455</v>
      </c>
      <c r="D28" s="51">
        <f>'2013-2015'!G32</f>
        <v>23.107440130000001</v>
      </c>
      <c r="E28" s="51">
        <f>'2013-2015'!H32</f>
        <v>22.891298559999999</v>
      </c>
      <c r="F28" s="51">
        <f>'2013-2015'!I32</f>
        <v>23.712438219999999</v>
      </c>
      <c r="G28" s="51">
        <f>'2016-2021YTD'!O33</f>
        <v>22.590093071466708</v>
      </c>
      <c r="H28" s="51">
        <f>'2016-2021YTD'!P33</f>
        <v>23.411129037866086</v>
      </c>
      <c r="I28" s="51">
        <f>'2016-2021YTD'!Q33</f>
        <v>23.01321511709418</v>
      </c>
      <c r="J28" s="51">
        <f>'2016-2021YTD'!R33</f>
        <v>22.576466945244203</v>
      </c>
      <c r="K28" s="51">
        <f>'2016-2021YTD'!S33</f>
        <v>25.960330617189381</v>
      </c>
      <c r="L28" s="51"/>
      <c r="M28" s="73"/>
    </row>
    <row r="29" spans="1:17" x14ac:dyDescent="0.2">
      <c r="A29" s="26" t="s">
        <v>82</v>
      </c>
      <c r="B29" s="47">
        <f>B4+B6+B8+B10+B12+B14+B16+B18+B20+B22+B24+B26+B28</f>
        <v>204.18503387657816</v>
      </c>
      <c r="C29" s="47">
        <f>C4+C6+C8+C10+C12+C14+C16+C18+C20+C22+C24+C26+C28</f>
        <v>206.51814400000001</v>
      </c>
      <c r="D29" s="47">
        <f t="shared" ref="D29:L29" si="13">D4+D6+D8+D10+D12+D14+D16+D18+D20+D22+D24+D26+D28</f>
        <v>267.92176716</v>
      </c>
      <c r="E29" s="47">
        <f t="shared" si="13"/>
        <v>273.41867299</v>
      </c>
      <c r="F29" s="47">
        <f t="shared" si="13"/>
        <v>281.95846597000008</v>
      </c>
      <c r="G29" s="47">
        <f t="shared" si="13"/>
        <v>278.95849969372097</v>
      </c>
      <c r="H29" s="47">
        <f t="shared" si="13"/>
        <v>283.17505695647179</v>
      </c>
      <c r="I29" s="47">
        <f t="shared" si="13"/>
        <v>285.74141809505505</v>
      </c>
      <c r="J29" s="47">
        <f t="shared" si="13"/>
        <v>281.08302669222684</v>
      </c>
      <c r="K29" s="47">
        <f t="shared" si="13"/>
        <v>328.09609309795047</v>
      </c>
      <c r="L29" s="47">
        <f t="shared" si="13"/>
        <v>215.08562193815351</v>
      </c>
      <c r="M29" s="35" t="s">
        <v>83</v>
      </c>
      <c r="P29" s="30"/>
    </row>
    <row r="30" spans="1:17" ht="13.5" x14ac:dyDescent="0.25">
      <c r="A30" s="36" t="s">
        <v>108</v>
      </c>
      <c r="B30" s="36"/>
      <c r="C30" s="73">
        <f>(C29-B29)/B29</f>
        <v>1.1426450210998912E-2</v>
      </c>
      <c r="D30" s="73">
        <f>(D29-C29)/C29</f>
        <v>0.29732798276552397</v>
      </c>
      <c r="E30" s="73">
        <f t="shared" ref="E30:K30" si="14">(E29-D29)/D29</f>
        <v>2.0516831791115017E-2</v>
      </c>
      <c r="F30" s="73">
        <f t="shared" si="14"/>
        <v>3.1233393413157288E-2</v>
      </c>
      <c r="G30" s="73">
        <f t="shared" si="14"/>
        <v>-1.0639745346743027E-2</v>
      </c>
      <c r="H30" s="73">
        <f t="shared" si="14"/>
        <v>1.5115356826841061E-2</v>
      </c>
      <c r="I30" s="73">
        <f t="shared" si="14"/>
        <v>9.062807883456165E-3</v>
      </c>
      <c r="J30" s="73">
        <f t="shared" si="14"/>
        <v>-1.6302821739614063E-2</v>
      </c>
      <c r="K30" s="73">
        <f t="shared" si="14"/>
        <v>0.16725686697973696</v>
      </c>
      <c r="L30" s="73"/>
      <c r="M30" s="37"/>
      <c r="Q30" s="38"/>
    </row>
    <row r="31" spans="1:17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40"/>
    </row>
    <row r="32" spans="1:17" ht="13.5" x14ac:dyDescent="0.25">
      <c r="A32" s="41" t="s">
        <v>168</v>
      </c>
      <c r="B32" s="41"/>
      <c r="C32" s="41"/>
      <c r="D32" s="41"/>
      <c r="E32" s="41"/>
      <c r="F32" s="41"/>
      <c r="G32" s="39"/>
      <c r="H32" s="39"/>
      <c r="I32" s="39"/>
      <c r="J32" s="39"/>
      <c r="K32" s="39"/>
      <c r="L32" s="39"/>
      <c r="M32" s="40"/>
    </row>
    <row r="33" spans="1:17" ht="13.5" x14ac:dyDescent="0.25">
      <c r="A33" s="41" t="s">
        <v>167</v>
      </c>
      <c r="B33" s="41"/>
      <c r="C33" s="42"/>
      <c r="D33" s="42"/>
      <c r="E33" s="42"/>
      <c r="F33" s="42"/>
      <c r="G33" s="43"/>
      <c r="H33" s="43"/>
      <c r="I33" s="43"/>
      <c r="J33" s="43"/>
      <c r="K33" s="43"/>
      <c r="L33" s="43"/>
      <c r="M33" s="39"/>
    </row>
    <row r="34" spans="1:17" ht="13.5" x14ac:dyDescent="0.25">
      <c r="A34" s="41" t="s">
        <v>166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39"/>
    </row>
    <row r="35" spans="1:17" s="43" customFormat="1" x14ac:dyDescent="0.2">
      <c r="A35" s="36"/>
      <c r="B35" s="36"/>
      <c r="C35" s="36"/>
      <c r="D35" s="36"/>
      <c r="E35" s="36"/>
      <c r="F35" s="36"/>
      <c r="G35" s="25"/>
      <c r="H35" s="25"/>
      <c r="I35" s="25"/>
      <c r="J35" s="25"/>
      <c r="K35" s="25"/>
      <c r="L35" s="25"/>
      <c r="P35" s="45"/>
      <c r="Q35" s="45"/>
    </row>
    <row r="36" spans="1:17" s="44" customFormat="1" x14ac:dyDescent="0.2">
      <c r="A36" s="36"/>
      <c r="B36" s="36"/>
      <c r="C36" s="36"/>
      <c r="D36" s="36"/>
      <c r="E36" s="36"/>
      <c r="F36" s="36"/>
      <c r="G36" s="25"/>
      <c r="H36" s="25"/>
      <c r="I36" s="25"/>
      <c r="J36" s="25"/>
      <c r="K36" s="25"/>
      <c r="L36" s="25"/>
    </row>
    <row r="37" spans="1:17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</row>
    <row r="38" spans="1:17" s="43" customFormat="1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P38" s="45"/>
      <c r="Q38" s="45"/>
    </row>
    <row r="39" spans="1:17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</row>
    <row r="40" spans="1:17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</row>
    <row r="42" spans="1:17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</row>
  </sheetData>
  <sheetProtection algorithmName="SHA-512" hashValue="oo5DMvkSWg/yW1bbE5TKvwbzZtatfdMwLxqRAxOaBDzAaAIGW2QtYaIWLVOMmNCXUyDNNgVSPz4He3kBnIH6gA==" saltValue="2Qx+gjO80OuH2vQT58EioQ==" spinCount="100000" sheet="1" objects="1" scenarios="1"/>
  <mergeCells count="2">
    <mergeCell ref="A1:M1"/>
    <mergeCell ref="A2:M2"/>
  </mergeCells>
  <pageMargins left="0.2" right="0.15" top="1" bottom="1" header="0.5" footer="0.5"/>
  <pageSetup scale="65" orientation="landscape" horizontalDpi="300" verticalDpi="300" r:id="rId1"/>
  <headerFooter alignWithMargins="0"/>
  <ignoredErrors>
    <ignoredError sqref="B10:L19 B22:L29 B20:L20 B21:K2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08B31C0-F556-4083-B3B4-BFA546EBA7F7}">
            <xm:f>NOT(ISERROR(SEARCH("-",M4)))</xm:f>
            <xm:f>"-"</xm:f>
            <x14:dxf>
              <font>
                <color rgb="FFFF0000"/>
              </font>
            </x14:dxf>
          </x14:cfRule>
          <xm:sqref>M4:M21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A9C81-529D-47FB-AE4D-F96CC93F73AB}">
  <sheetPr>
    <pageSetUpPr fitToPage="1"/>
  </sheetPr>
  <dimension ref="A1:Q42"/>
  <sheetViews>
    <sheetView zoomScale="110" zoomScaleNormal="11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sqref="A1:M1"/>
    </sheetView>
  </sheetViews>
  <sheetFormatPr defaultColWidth="9.140625" defaultRowHeight="12.75" x14ac:dyDescent="0.2"/>
  <cols>
    <col min="1" max="1" width="12.85546875" style="19" customWidth="1"/>
    <col min="2" max="13" width="8" style="19" customWidth="1"/>
    <col min="14" max="16" width="9.140625" style="19"/>
    <col min="17" max="17" width="10.28515625" style="19" customWidth="1"/>
    <col min="18" max="16384" width="9.140625" style="19"/>
  </cols>
  <sheetData>
    <row r="1" spans="1:17" ht="20.25" x14ac:dyDescent="0.3">
      <c r="A1" s="115" t="s">
        <v>79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</row>
    <row r="2" spans="1:17" ht="15.75" x14ac:dyDescent="0.25">
      <c r="A2" s="116" t="s">
        <v>84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7" ht="18" x14ac:dyDescent="0.25">
      <c r="A3" s="20"/>
      <c r="B3" s="21">
        <v>2011</v>
      </c>
      <c r="C3" s="21">
        <v>2012</v>
      </c>
      <c r="D3" s="21">
        <v>2013</v>
      </c>
      <c r="E3" s="21">
        <v>2014</v>
      </c>
      <c r="F3" s="21">
        <v>2015</v>
      </c>
      <c r="G3" s="21">
        <v>2016</v>
      </c>
      <c r="H3" s="21">
        <v>2017</v>
      </c>
      <c r="I3" s="21">
        <v>2018</v>
      </c>
      <c r="J3" s="21">
        <v>2019</v>
      </c>
      <c r="K3" s="21">
        <v>2020</v>
      </c>
      <c r="L3" s="74">
        <v>2021</v>
      </c>
      <c r="M3" s="22" t="s">
        <v>108</v>
      </c>
    </row>
    <row r="4" spans="1:17" x14ac:dyDescent="0.2">
      <c r="A4" s="81" t="s">
        <v>86</v>
      </c>
      <c r="B4" s="99">
        <f>'2011 MC Topline 12YA'!J6</f>
        <v>4.0687340023774521</v>
      </c>
      <c r="C4" s="100">
        <f>'2012 Topline Reports'!L6</f>
        <v>4.0484106557122308</v>
      </c>
      <c r="D4" s="24">
        <f>'2013-2015'!L8</f>
        <v>3.9466970868250968</v>
      </c>
      <c r="E4" s="24">
        <f>'2013-2015'!M8</f>
        <v>3.9781749757545404</v>
      </c>
      <c r="F4" s="24">
        <f>'2013-2015'!N8</f>
        <v>4.004882229509068</v>
      </c>
      <c r="G4" s="87">
        <f>'2016-2021YTD'!G39</f>
        <v>3.98825623058447</v>
      </c>
      <c r="H4" s="87">
        <f>'2016-2021YTD'!H39</f>
        <v>3.9635931898774635</v>
      </c>
      <c r="I4" s="87">
        <f>'2016-2021YTD'!I39</f>
        <v>3.9909173960645257</v>
      </c>
      <c r="J4" s="87">
        <f>'2016-2021YTD'!J39</f>
        <v>4.074791382408252</v>
      </c>
      <c r="K4" s="87">
        <f>'2016-2021YTD'!K39</f>
        <v>4.1829579064985456</v>
      </c>
      <c r="L4" s="87">
        <f>'2016-2021YTD'!L39</f>
        <v>4.2939912250481962</v>
      </c>
      <c r="M4" s="73">
        <f>(L4-K4)/K4</f>
        <v>2.6544211304912208E-2</v>
      </c>
    </row>
    <row r="5" spans="1:17" x14ac:dyDescent="0.2">
      <c r="A5" s="26" t="s">
        <v>85</v>
      </c>
      <c r="B5" s="27">
        <f t="shared" ref="B5:F5" si="0">AVERAGE(B4)</f>
        <v>4.0687340023774521</v>
      </c>
      <c r="C5" s="27">
        <f t="shared" si="0"/>
        <v>4.0484106557122308</v>
      </c>
      <c r="D5" s="27">
        <f t="shared" si="0"/>
        <v>3.9466970868250968</v>
      </c>
      <c r="E5" s="27">
        <f t="shared" si="0"/>
        <v>3.9781749757545404</v>
      </c>
      <c r="F5" s="27">
        <f t="shared" si="0"/>
        <v>4.004882229509068</v>
      </c>
      <c r="G5" s="27">
        <f t="shared" ref="G5" si="1">AVERAGE(G4)</f>
        <v>3.98825623058447</v>
      </c>
      <c r="H5" s="27">
        <f t="shared" ref="H5" si="2">AVERAGE(H4)</f>
        <v>3.9635931898774635</v>
      </c>
      <c r="I5" s="27">
        <f t="shared" ref="I5" si="3">AVERAGE(I4)</f>
        <v>3.9909173960645257</v>
      </c>
      <c r="J5" s="27">
        <f t="shared" ref="J5" si="4">AVERAGE(J4)</f>
        <v>4.074791382408252</v>
      </c>
      <c r="K5" s="27">
        <f t="shared" ref="K5" si="5">AVERAGE(K4)</f>
        <v>4.1829579064985456</v>
      </c>
      <c r="L5" s="27">
        <f t="shared" ref="L5" si="6">AVERAGE(L4)</f>
        <v>4.2939912250481962</v>
      </c>
      <c r="M5" s="73">
        <f t="shared" ref="M5:M21" si="7">(L5-K5)/K5</f>
        <v>2.6544211304912208E-2</v>
      </c>
    </row>
    <row r="6" spans="1:17" x14ac:dyDescent="0.2">
      <c r="A6" s="23" t="s">
        <v>87</v>
      </c>
      <c r="B6" s="28">
        <f>'2011 MC Topline 12YA'!J7</f>
        <v>4.0717697143775151</v>
      </c>
      <c r="C6" s="101">
        <f>'2012 Topline Reports'!L7</f>
        <v>4.0677222295719702</v>
      </c>
      <c r="D6" s="28">
        <f>'2013-2015'!L10</f>
        <v>3.9378938199478082</v>
      </c>
      <c r="E6" s="28">
        <f>'2013-2015'!M10</f>
        <v>4.0112000990440908</v>
      </c>
      <c r="F6" s="28">
        <f>'2013-2015'!N10</f>
        <v>4.0091095200482885</v>
      </c>
      <c r="G6" s="88">
        <f>'2016-2021YTD'!G41</f>
        <v>4.0195369050250935</v>
      </c>
      <c r="H6" s="88">
        <f>'2016-2021YTD'!H41</f>
        <v>3.9532704784613952</v>
      </c>
      <c r="I6" s="88">
        <f>'2016-2021YTD'!I41</f>
        <v>4.0488958679263334</v>
      </c>
      <c r="J6" s="88">
        <f>'2016-2021YTD'!J41</f>
        <v>4.1201321760318983</v>
      </c>
      <c r="K6" s="88">
        <f>'2016-2021YTD'!K41</f>
        <v>4.1761417183465062</v>
      </c>
      <c r="L6" s="88">
        <f>'2016-2021YTD'!L41</f>
        <v>4.2657667843391849</v>
      </c>
      <c r="M6" s="73">
        <f t="shared" si="7"/>
        <v>2.1461212774207459E-2</v>
      </c>
    </row>
    <row r="7" spans="1:17" x14ac:dyDescent="0.2">
      <c r="A7" s="26" t="s">
        <v>85</v>
      </c>
      <c r="B7" s="27">
        <f t="shared" ref="B7:F7" si="8">AVERAGE(B4,B6)</f>
        <v>4.0702518583774836</v>
      </c>
      <c r="C7" s="27">
        <f t="shared" si="8"/>
        <v>4.0580664426421009</v>
      </c>
      <c r="D7" s="27">
        <f t="shared" si="8"/>
        <v>3.9422954533864525</v>
      </c>
      <c r="E7" s="27">
        <f t="shared" si="8"/>
        <v>3.9946875373993156</v>
      </c>
      <c r="F7" s="27">
        <f t="shared" si="8"/>
        <v>4.0069958747786778</v>
      </c>
      <c r="G7" s="27">
        <f t="shared" ref="G7" si="9">AVERAGE(G4,G6)</f>
        <v>4.003896567804782</v>
      </c>
      <c r="H7" s="27">
        <f t="shared" ref="H7" si="10">AVERAGE(H4,H6)</f>
        <v>3.9584318341694296</v>
      </c>
      <c r="I7" s="27">
        <f t="shared" ref="I7" si="11">AVERAGE(I4,I6)</f>
        <v>4.0199066319954291</v>
      </c>
      <c r="J7" s="27">
        <f t="shared" ref="J7" si="12">AVERAGE(J4,J6)</f>
        <v>4.0974617792200752</v>
      </c>
      <c r="K7" s="27">
        <f t="shared" ref="K7" si="13">AVERAGE(K4,K6)</f>
        <v>4.1795498124225254</v>
      </c>
      <c r="L7" s="27">
        <f t="shared" ref="L7" si="14">AVERAGE(L4,L6)</f>
        <v>4.2798790046936901</v>
      </c>
      <c r="M7" s="73">
        <f t="shared" si="7"/>
        <v>2.400478443227656E-2</v>
      </c>
    </row>
    <row r="8" spans="1:17" x14ac:dyDescent="0.2">
      <c r="A8" s="23" t="s">
        <v>88</v>
      </c>
      <c r="B8" s="28">
        <f>'2011 MC Topline 12YA'!J8</f>
        <v>4.0602089612204262</v>
      </c>
      <c r="C8" s="101">
        <f>'2012 Topline Reports'!L8</f>
        <v>4.1105421301611758</v>
      </c>
      <c r="D8" s="28">
        <f>'2013-2015'!L12</f>
        <v>3.9470568612263164</v>
      </c>
      <c r="E8" s="28">
        <f>'2013-2015'!M12</f>
        <v>3.9870989460750521</v>
      </c>
      <c r="F8" s="28">
        <f>'2013-2015'!N12</f>
        <v>3.9688356514276775</v>
      </c>
      <c r="G8" s="90">
        <f>'2016-2021YTD'!G43</f>
        <v>3.9865861743622899</v>
      </c>
      <c r="H8" s="90">
        <f>'2016-2021YTD'!H43</f>
        <v>3.9587208691905271</v>
      </c>
      <c r="I8" s="90">
        <f>'2016-2021YTD'!I43</f>
        <v>4.024384733243477</v>
      </c>
      <c r="J8" s="90">
        <f>'2016-2021YTD'!J43</f>
        <v>4.0672338135671415</v>
      </c>
      <c r="K8" s="90">
        <f>'2016-2021YTD'!K43</f>
        <v>4.2029545853466148</v>
      </c>
      <c r="L8" s="90">
        <f>'2016-2021YTD'!L43</f>
        <v>4.2467133309112093</v>
      </c>
      <c r="M8" s="73">
        <f t="shared" si="7"/>
        <v>1.0411424790826218E-2</v>
      </c>
    </row>
    <row r="9" spans="1:17" x14ac:dyDescent="0.2">
      <c r="A9" s="26" t="s">
        <v>85</v>
      </c>
      <c r="B9" s="27">
        <f t="shared" ref="B9:F9" si="15">AVERAGE(B4,B6,B8)</f>
        <v>4.0669042259917978</v>
      </c>
      <c r="C9" s="27">
        <f t="shared" si="15"/>
        <v>4.0755583384817919</v>
      </c>
      <c r="D9" s="27">
        <f t="shared" si="15"/>
        <v>3.9438825893330738</v>
      </c>
      <c r="E9" s="27">
        <f t="shared" si="15"/>
        <v>3.9921580069578941</v>
      </c>
      <c r="F9" s="27">
        <f t="shared" si="15"/>
        <v>3.9942758003283445</v>
      </c>
      <c r="G9" s="27">
        <f t="shared" ref="G9" si="16">AVERAGE(G4,G6,G8)</f>
        <v>3.9981264366572851</v>
      </c>
      <c r="H9" s="27">
        <f t="shared" ref="H9" si="17">AVERAGE(H4,H6,H8)</f>
        <v>3.9585281791764619</v>
      </c>
      <c r="I9" s="27">
        <f t="shared" ref="I9" si="18">AVERAGE(I4,I6,I8)</f>
        <v>4.0213993324114448</v>
      </c>
      <c r="J9" s="27">
        <f t="shared" ref="J9" si="19">AVERAGE(J4,J6,J8)</f>
        <v>4.0873857906690967</v>
      </c>
      <c r="K9" s="27">
        <f t="shared" ref="K9" si="20">AVERAGE(K4,K6,K8)</f>
        <v>4.1873514033972219</v>
      </c>
      <c r="L9" s="27">
        <f t="shared" ref="L9" si="21">AVERAGE(L4,L6,L8)</f>
        <v>4.2688237800995301</v>
      </c>
      <c r="M9" s="73">
        <f t="shared" si="7"/>
        <v>1.9456780397319705E-2</v>
      </c>
    </row>
    <row r="10" spans="1:17" x14ac:dyDescent="0.2">
      <c r="A10" s="23" t="s">
        <v>89</v>
      </c>
      <c r="B10" s="28">
        <f>'2011 MC Topline 12YA'!J9</f>
        <v>4.0197478757247707</v>
      </c>
      <c r="C10" s="101">
        <f>'2012 Topline Reports'!L9</f>
        <v>4.0400087017112858</v>
      </c>
      <c r="D10" s="28">
        <f>'2013-2015'!L14</f>
        <v>3.9516302708698885</v>
      </c>
      <c r="E10" s="28">
        <f>'2013-2015'!M14</f>
        <v>4.0237355656555236</v>
      </c>
      <c r="F10" s="28">
        <f>'2013-2015'!N14</f>
        <v>3.9979648159542878</v>
      </c>
      <c r="G10" s="90">
        <f>'2016-2021YTD'!G45</f>
        <v>3.9825820263599727</v>
      </c>
      <c r="H10" s="90">
        <f>'2016-2021YTD'!H45</f>
        <v>3.9572512549429715</v>
      </c>
      <c r="I10" s="90">
        <f>'2016-2021YTD'!I45</f>
        <v>4.0101537560788731</v>
      </c>
      <c r="J10" s="90">
        <f>'2016-2021YTD'!J45</f>
        <v>4.1079387164047638</v>
      </c>
      <c r="K10" s="90">
        <f>'2016-2021YTD'!K45</f>
        <v>4.2493547095957966</v>
      </c>
      <c r="L10" s="90">
        <f>'2016-2021YTD'!L45</f>
        <v>4.2558407009407428</v>
      </c>
      <c r="M10" s="73">
        <f t="shared" si="7"/>
        <v>1.5263473605297501E-3</v>
      </c>
    </row>
    <row r="11" spans="1:17" x14ac:dyDescent="0.2">
      <c r="A11" s="26" t="s">
        <v>85</v>
      </c>
      <c r="B11" s="27">
        <f t="shared" ref="B11:F11" si="22">AVERAGE(B4,B6,B8,B10)</f>
        <v>4.055115138425041</v>
      </c>
      <c r="C11" s="27">
        <f t="shared" si="22"/>
        <v>4.0666709292891658</v>
      </c>
      <c r="D11" s="27">
        <f t="shared" si="22"/>
        <v>3.9458195097172775</v>
      </c>
      <c r="E11" s="27">
        <f t="shared" si="22"/>
        <v>4.0000523966323014</v>
      </c>
      <c r="F11" s="27">
        <f t="shared" si="22"/>
        <v>3.9951980542348302</v>
      </c>
      <c r="G11" s="27">
        <f t="shared" ref="G11" si="23">AVERAGE(G4,G6,G8,G10)</f>
        <v>3.9942403340829569</v>
      </c>
      <c r="H11" s="27">
        <f t="shared" ref="H11" si="24">AVERAGE(H4,H6,H8,H10)</f>
        <v>3.9582089481180893</v>
      </c>
      <c r="I11" s="27">
        <f t="shared" ref="I11" si="25">AVERAGE(I4,I6,I8,I10)</f>
        <v>4.0185879383283023</v>
      </c>
      <c r="J11" s="27">
        <f t="shared" ref="J11" si="26">AVERAGE(J4,J6,J8,J10)</f>
        <v>4.0925240221030137</v>
      </c>
      <c r="K11" s="27">
        <f t="shared" ref="K11" si="27">AVERAGE(K4,K6,K8,K10)</f>
        <v>4.2028522299468651</v>
      </c>
      <c r="L11" s="27">
        <f t="shared" ref="L11" si="28">AVERAGE(L4,L6,L8,L10)</f>
        <v>4.2655780103098326</v>
      </c>
      <c r="M11" s="73">
        <f t="shared" si="7"/>
        <v>1.4924574296479729E-2</v>
      </c>
    </row>
    <row r="12" spans="1:17" x14ac:dyDescent="0.2">
      <c r="A12" s="23" t="s">
        <v>90</v>
      </c>
      <c r="B12" s="28">
        <f>'2011 MC Topline 12YA'!J10</f>
        <v>4.0342405484211792</v>
      </c>
      <c r="C12" s="101">
        <f>'2012 Topline Reports'!L10</f>
        <v>4.1613032428596419</v>
      </c>
      <c r="D12" s="28">
        <f>'2013-2015'!L16</f>
        <v>3.975670410433362</v>
      </c>
      <c r="E12" s="28">
        <f>'2013-2015'!M16</f>
        <v>3.9730302146681793</v>
      </c>
      <c r="F12" s="28">
        <f>'2013-2015'!N16</f>
        <v>3.9739977915467946</v>
      </c>
      <c r="G12" s="90">
        <f>'2016-2021YTD'!G47</f>
        <v>4.0034231461265017</v>
      </c>
      <c r="H12" s="90">
        <f>'2016-2021YTD'!H47</f>
        <v>3.9957630010113658</v>
      </c>
      <c r="I12" s="90">
        <f>'2016-2021YTD'!I47</f>
        <v>4.0241190081845453</v>
      </c>
      <c r="J12" s="90">
        <f>'2016-2021YTD'!J47</f>
        <v>4.0987524897822079</v>
      </c>
      <c r="K12" s="90">
        <f>'2016-2021YTD'!K47</f>
        <v>4.2370240802920982</v>
      </c>
      <c r="L12" s="90">
        <f>'2016-2021YTD'!L47</f>
        <v>4.2520400255929083</v>
      </c>
      <c r="M12" s="73">
        <f t="shared" si="7"/>
        <v>3.5439839416194401E-3</v>
      </c>
      <c r="Q12" s="30"/>
    </row>
    <row r="13" spans="1:17" x14ac:dyDescent="0.2">
      <c r="A13" s="26" t="s">
        <v>85</v>
      </c>
      <c r="B13" s="27">
        <f t="shared" ref="B13:F13" si="29">AVERAGE(B4,B6,B8,B10,B12)</f>
        <v>4.0509402204242688</v>
      </c>
      <c r="C13" s="27">
        <f t="shared" si="29"/>
        <v>4.0855973920032609</v>
      </c>
      <c r="D13" s="27">
        <f t="shared" si="29"/>
        <v>3.9517896898604947</v>
      </c>
      <c r="E13" s="27">
        <f t="shared" si="29"/>
        <v>3.9946479602394769</v>
      </c>
      <c r="F13" s="27">
        <f t="shared" si="29"/>
        <v>3.9909580016972228</v>
      </c>
      <c r="G13" s="27">
        <f t="shared" ref="G13" si="30">AVERAGE(G4,G6,G8,G10,G12)</f>
        <v>3.9960768964916662</v>
      </c>
      <c r="H13" s="27">
        <f t="shared" ref="H13" si="31">AVERAGE(H4,H6,H8,H10,H12)</f>
        <v>3.965719758696745</v>
      </c>
      <c r="I13" s="27">
        <f t="shared" ref="I13" si="32">AVERAGE(I4,I6,I8,I10,I12)</f>
        <v>4.0196941522995511</v>
      </c>
      <c r="J13" s="27">
        <f t="shared" ref="J13" si="33">AVERAGE(J4,J6,J8,J10,J12)</f>
        <v>4.0937697156388522</v>
      </c>
      <c r="K13" s="27">
        <f t="shared" ref="K13" si="34">AVERAGE(K4,K6,K8,K10,K12)</f>
        <v>4.2096866000159121</v>
      </c>
      <c r="L13" s="27">
        <f t="shared" ref="L13" si="35">AVERAGE(L4,L6,L8,L10,L12)</f>
        <v>4.2628704133664481</v>
      </c>
      <c r="M13" s="73">
        <f t="shared" si="7"/>
        <v>1.263367523614109E-2</v>
      </c>
    </row>
    <row r="14" spans="1:17" x14ac:dyDescent="0.2">
      <c r="A14" s="23" t="s">
        <v>91</v>
      </c>
      <c r="B14" s="28">
        <f>'2011 MC Topline 12YA'!J11</f>
        <v>4.1078511745776343</v>
      </c>
      <c r="C14" s="101">
        <f>'2012 Topline Reports'!L11</f>
        <v>4.1195544542772859</v>
      </c>
      <c r="D14" s="28">
        <f>'2013-2015'!L18</f>
        <v>3.987670923023853</v>
      </c>
      <c r="E14" s="28">
        <f>'2013-2015'!M18</f>
        <v>4.0218305549727633</v>
      </c>
      <c r="F14" s="28">
        <f>'2013-2015'!N18</f>
        <v>3.9755515683233797</v>
      </c>
      <c r="G14" s="88">
        <f>'2016-2021YTD'!G49</f>
        <v>3.9673104615458117</v>
      </c>
      <c r="H14" s="88">
        <f>'2016-2021YTD'!H49</f>
        <v>4.0111160726896538</v>
      </c>
      <c r="I14" s="88">
        <f>'2016-2021YTD'!I49</f>
        <v>4.00415558971177</v>
      </c>
      <c r="J14" s="88">
        <f>'2016-2021YTD'!J49</f>
        <v>4.1383820995488847</v>
      </c>
      <c r="K14" s="88">
        <f>'2016-2021YTD'!K49</f>
        <v>4.2510983977915631</v>
      </c>
      <c r="L14" s="88">
        <f>'2016-2021YTD'!L49</f>
        <v>4.288091211845444</v>
      </c>
      <c r="M14" s="73">
        <f t="shared" si="7"/>
        <v>8.7019425551519997E-3</v>
      </c>
    </row>
    <row r="15" spans="1:17" x14ac:dyDescent="0.2">
      <c r="A15" s="26" t="s">
        <v>85</v>
      </c>
      <c r="B15" s="27">
        <f t="shared" ref="B15:F15" si="36">AVERAGE(B4,B6,B8,B10,B12,B14)</f>
        <v>4.0604253794498293</v>
      </c>
      <c r="C15" s="27">
        <f t="shared" si="36"/>
        <v>4.0912569023822654</v>
      </c>
      <c r="D15" s="27">
        <f t="shared" si="36"/>
        <v>3.9577698953877207</v>
      </c>
      <c r="E15" s="27">
        <f t="shared" si="36"/>
        <v>3.9991783926950242</v>
      </c>
      <c r="F15" s="27">
        <f t="shared" si="36"/>
        <v>3.9883902628015822</v>
      </c>
      <c r="G15" s="27">
        <f t="shared" ref="G15" si="37">AVERAGE(G4,G6,G8,G10,G12,G14)</f>
        <v>3.991282490667357</v>
      </c>
      <c r="H15" s="27">
        <f t="shared" ref="H15" si="38">AVERAGE(H4,H6,H8,H10,H12,H14)</f>
        <v>3.9732858110288962</v>
      </c>
      <c r="I15" s="27">
        <f t="shared" ref="I15" si="39">AVERAGE(I4,I6,I8,I10,I12,I14)</f>
        <v>4.0171043918682541</v>
      </c>
      <c r="J15" s="27">
        <f t="shared" ref="J15" si="40">AVERAGE(J4,J6,J8,J10,J12,J14)</f>
        <v>4.1012051129571914</v>
      </c>
      <c r="K15" s="27">
        <f t="shared" ref="K15:L15" si="41">AVERAGE(K4,K6,K8,K10,K12,K14)</f>
        <v>4.2165885663118532</v>
      </c>
      <c r="L15" s="27">
        <f t="shared" si="41"/>
        <v>4.2670738797796135</v>
      </c>
      <c r="M15" s="73">
        <f t="shared" si="7"/>
        <v>1.1973023375130615E-2</v>
      </c>
    </row>
    <row r="16" spans="1:17" x14ac:dyDescent="0.2">
      <c r="A16" s="23" t="s">
        <v>92</v>
      </c>
      <c r="B16" s="28">
        <f>'2011 MC Topline 12YA'!J12</f>
        <v>4.09388243356607</v>
      </c>
      <c r="C16" s="101">
        <f>'2012 Topline Reports'!L12</f>
        <v>4.1664833043091134</v>
      </c>
      <c r="D16" s="28">
        <f>'2013-2015'!L20</f>
        <v>4.00343651225299</v>
      </c>
      <c r="E16" s="28">
        <f>'2013-2015'!M20</f>
        <v>4.0430666310224135</v>
      </c>
      <c r="F16" s="28">
        <f>'2013-2015'!N20</f>
        <v>4.0463159430040792</v>
      </c>
      <c r="G16" s="88">
        <f>'2016-2021YTD'!G51</f>
        <v>3.9605041582459797</v>
      </c>
      <c r="H16" s="88">
        <f>'2016-2021YTD'!H51</f>
        <v>3.996449357541918</v>
      </c>
      <c r="I16" s="88">
        <f>'2016-2021YTD'!I51</f>
        <v>4.0624467584490533</v>
      </c>
      <c r="J16" s="88">
        <f>'2016-2021YTD'!J51</f>
        <v>4.1542825429963441</v>
      </c>
      <c r="K16" s="88">
        <f>'2016-2021YTD'!K51</f>
        <v>4.2764993048560749</v>
      </c>
      <c r="L16" s="88">
        <f>'2016-2021YTD'!L51</f>
        <v>4.2860656236237507</v>
      </c>
      <c r="M16" s="73">
        <f t="shared" si="7"/>
        <v>2.2369508529588612E-3</v>
      </c>
    </row>
    <row r="17" spans="1:17" x14ac:dyDescent="0.2">
      <c r="A17" s="26" t="s">
        <v>85</v>
      </c>
      <c r="B17" s="27">
        <f t="shared" ref="B17:F17" si="42">AVERAGE(B4,B6,B8,B10,B12,B14,B16)</f>
        <v>4.065204958609292</v>
      </c>
      <c r="C17" s="27">
        <f t="shared" si="42"/>
        <v>4.1020035312289576</v>
      </c>
      <c r="D17" s="27">
        <f t="shared" si="42"/>
        <v>3.9642936977970451</v>
      </c>
      <c r="E17" s="27">
        <f t="shared" si="42"/>
        <v>4.0054481410275082</v>
      </c>
      <c r="F17" s="27">
        <f t="shared" si="42"/>
        <v>3.9966653599733672</v>
      </c>
      <c r="G17" s="27">
        <f t="shared" ref="G17" si="43">AVERAGE(G4,G6,G8,G10,G12,G14,G16)</f>
        <v>3.9868855860357315</v>
      </c>
      <c r="H17" s="27">
        <f t="shared" ref="H17" si="44">AVERAGE(H4,H6,H8,H10,H12,H14,H16)</f>
        <v>3.9765948891021847</v>
      </c>
      <c r="I17" s="27">
        <f t="shared" ref="I17" si="45">AVERAGE(I4,I6,I8,I10,I12,I14,I16)</f>
        <v>4.0235818728083679</v>
      </c>
      <c r="J17" s="27">
        <f t="shared" ref="J17" si="46">AVERAGE(J4,J6,J8,J10,J12,J14,J16)</f>
        <v>4.1087876029627841</v>
      </c>
      <c r="K17" s="27">
        <f t="shared" ref="K17:L17" si="47">AVERAGE(K4,K6,K8,K10,K12,K14,K16)</f>
        <v>4.2251472432467425</v>
      </c>
      <c r="L17" s="27">
        <f t="shared" si="47"/>
        <v>4.2697869860430613</v>
      </c>
      <c r="M17" s="73">
        <f t="shared" si="7"/>
        <v>1.0565251392757645E-2</v>
      </c>
    </row>
    <row r="18" spans="1:17" x14ac:dyDescent="0.2">
      <c r="A18" s="23" t="s">
        <v>93</v>
      </c>
      <c r="B18" s="28">
        <f>'2011 MC Topline 12YA'!J13</f>
        <v>3.9992430369847716</v>
      </c>
      <c r="C18" s="101">
        <f>'2012 Topline Reports'!L13</f>
        <v>4.0738850975964711</v>
      </c>
      <c r="D18" s="28">
        <f>'2013-2015'!L22</f>
        <v>3.9892326235320366</v>
      </c>
      <c r="E18" s="28">
        <f>'2013-2015'!M22</f>
        <v>4.0376894377037917</v>
      </c>
      <c r="F18" s="28">
        <f>'2013-2015'!N22</f>
        <v>4.04475166010391</v>
      </c>
      <c r="G18" s="88">
        <f>'2016-2021YTD'!G53</f>
        <v>3.9348175617486505</v>
      </c>
      <c r="H18" s="88">
        <f>'2016-2021YTD'!H53</f>
        <v>3.9875546340213552</v>
      </c>
      <c r="I18" s="88">
        <f>'2016-2021YTD'!I53</f>
        <v>4.0396778933722066</v>
      </c>
      <c r="J18" s="88">
        <f>'2016-2021YTD'!J53</f>
        <v>4.1325254319841589</v>
      </c>
      <c r="K18" s="88">
        <f>'2016-2021YTD'!K53</f>
        <v>4.2309480486701112</v>
      </c>
      <c r="L18" s="88">
        <f>'2016-2021YTD'!L53</f>
        <v>4.2888720053679492</v>
      </c>
      <c r="M18" s="73">
        <f t="shared" si="7"/>
        <v>1.3690538392700166E-2</v>
      </c>
    </row>
    <row r="19" spans="1:17" x14ac:dyDescent="0.2">
      <c r="A19" s="26" t="s">
        <v>85</v>
      </c>
      <c r="B19" s="27">
        <f t="shared" ref="B19:F19" si="48">AVERAGE(B4,B6,B8,B10,B12,B14,B16,B18)</f>
        <v>4.0569597184062269</v>
      </c>
      <c r="C19" s="27">
        <f t="shared" si="48"/>
        <v>4.0984887270248969</v>
      </c>
      <c r="D19" s="27">
        <f t="shared" si="48"/>
        <v>3.9674110635139188</v>
      </c>
      <c r="E19" s="27">
        <f t="shared" si="48"/>
        <v>4.0094783031120436</v>
      </c>
      <c r="F19" s="27">
        <f t="shared" si="48"/>
        <v>4.0026761474896855</v>
      </c>
      <c r="G19" s="27">
        <f t="shared" ref="G19" si="49">AVERAGE(G4,G6,G8,G10,G12,G14,G16,G18)</f>
        <v>3.9803770829998464</v>
      </c>
      <c r="H19" s="27">
        <f t="shared" ref="H19" si="50">AVERAGE(H4,H6,H8,H10,H12,H14,H16,H18)</f>
        <v>3.9779648572170809</v>
      </c>
      <c r="I19" s="27">
        <f t="shared" ref="I19" si="51">AVERAGE(I4,I6,I8,I10,I12,I14,I16,I18)</f>
        <v>4.0255938753788474</v>
      </c>
      <c r="J19" s="27">
        <f t="shared" ref="J19" si="52">AVERAGE(J4,J6,J8,J10,J12,J14,J16,J18)</f>
        <v>4.1117548315904564</v>
      </c>
      <c r="K19" s="27">
        <f t="shared" ref="K19:L19" si="53">AVERAGE(K4,K6,K8,K10,K12,K14,K16,K18)</f>
        <v>4.2258723439246637</v>
      </c>
      <c r="L19" s="27">
        <f t="shared" si="53"/>
        <v>4.2721726134586726</v>
      </c>
      <c r="M19" s="73">
        <f t="shared" si="7"/>
        <v>1.0956381491403213E-2</v>
      </c>
      <c r="Q19" s="31"/>
    </row>
    <row r="20" spans="1:17" x14ac:dyDescent="0.2">
      <c r="A20" s="23" t="s">
        <v>94</v>
      </c>
      <c r="B20" s="28">
        <f>'2011 MC Topline 12YA'!J14</f>
        <v>4.0951421977615263</v>
      </c>
      <c r="C20" s="101">
        <f>'2012 Topline Reports'!L14</f>
        <v>4.07133323149547</v>
      </c>
      <c r="D20" s="28">
        <f>'2013-2015'!L24</f>
        <v>3.9845695027219281</v>
      </c>
      <c r="E20" s="28">
        <f>'2013-2015'!M24</f>
        <v>3.9959941658436815</v>
      </c>
      <c r="F20" s="28">
        <f>'2013-2015'!N24</f>
        <v>4.1010389242187921</v>
      </c>
      <c r="G20" s="88">
        <f>'2016-2021YTD'!G55</f>
        <v>3.9817027168503958</v>
      </c>
      <c r="H20" s="88">
        <f>'2016-2021YTD'!H55</f>
        <v>3.9972007263235789</v>
      </c>
      <c r="I20" s="88">
        <f>'2016-2021YTD'!I55</f>
        <v>4.0490208618739789</v>
      </c>
      <c r="J20" s="88">
        <f>'2016-2021YTD'!J55</f>
        <v>4.158352594289453</v>
      </c>
      <c r="K20" s="88">
        <f>'2016-2021YTD'!K55</f>
        <v>4.2150106941740493</v>
      </c>
      <c r="L20" s="88">
        <f>'2016-2021YTD'!L55</f>
        <v>4.302908769027745</v>
      </c>
      <c r="M20" s="73">
        <f t="shared" si="7"/>
        <v>2.0853582880628906E-2</v>
      </c>
    </row>
    <row r="21" spans="1:17" x14ac:dyDescent="0.2">
      <c r="A21" s="26" t="s">
        <v>85</v>
      </c>
      <c r="B21" s="27">
        <f t="shared" ref="B21:F21" si="54">AVERAGE(B4,B6,B8,B10,B12,B14,B16,B18,B20)</f>
        <v>4.0612022161123713</v>
      </c>
      <c r="C21" s="27">
        <f t="shared" si="54"/>
        <v>4.09547144974385</v>
      </c>
      <c r="D21" s="27">
        <f t="shared" si="54"/>
        <v>3.9693175567592527</v>
      </c>
      <c r="E21" s="27">
        <f t="shared" si="54"/>
        <v>4.0079800656377813</v>
      </c>
      <c r="F21" s="27">
        <f t="shared" si="54"/>
        <v>4.0136053449040308</v>
      </c>
      <c r="G21" s="27">
        <f t="shared" ref="G21" si="55">AVERAGE(G4,G6,G8,G10,G12,G14,G16,G18,G20)</f>
        <v>3.9805243756499076</v>
      </c>
      <c r="H21" s="27">
        <f t="shared" ref="H21" si="56">AVERAGE(H4,H6,H8,H10,H12,H14,H16,H18,H20)</f>
        <v>3.9801021760066919</v>
      </c>
      <c r="I21" s="27">
        <f t="shared" ref="I21" si="57">AVERAGE(I4,I6,I8,I10,I12,I14,I16,I18,I20)</f>
        <v>4.0281968738783061</v>
      </c>
      <c r="J21" s="27">
        <f t="shared" ref="J21" si="58">AVERAGE(J4,J6,J8,J10,J12,J14,J16,J18,J20)</f>
        <v>4.1169323607792343</v>
      </c>
      <c r="K21" s="27">
        <f t="shared" ref="K21" si="59">AVERAGE(K4,K6,K8,K10,K12,K14,K16,K18,K20)</f>
        <v>4.2246654939523731</v>
      </c>
      <c r="L21" s="89">
        <f>AVERAGE(L4,L6,L8,L10,L12,L14,L16,L18,L20)</f>
        <v>4.2755877418552366</v>
      </c>
      <c r="M21" s="73">
        <f t="shared" si="7"/>
        <v>1.205355737057973E-2</v>
      </c>
    </row>
    <row r="22" spans="1:17" x14ac:dyDescent="0.2">
      <c r="A22" s="23" t="s">
        <v>95</v>
      </c>
      <c r="B22" s="28">
        <f>'2011 MC Topline 12YA'!J15</f>
        <v>4.0904562314387993</v>
      </c>
      <c r="C22" s="101">
        <f>'2012 Topline Reports'!L15</f>
        <v>4.0593205037018727</v>
      </c>
      <c r="D22" s="28">
        <f>'2013-2015'!L26</f>
        <v>3.9496006549826714</v>
      </c>
      <c r="E22" s="28">
        <f>'2013-2015'!M26</f>
        <v>3.9547086589197473</v>
      </c>
      <c r="F22" s="28">
        <f>'2013-2015'!N26</f>
        <v>4.0117154469322864</v>
      </c>
      <c r="G22" s="88">
        <f>'2016-2021YTD'!G57</f>
        <v>3.990413922027491</v>
      </c>
      <c r="H22" s="88">
        <f>'2016-2021YTD'!H57</f>
        <v>3.9837360624666278</v>
      </c>
      <c r="I22" s="88">
        <f>'2016-2021YTD'!I57</f>
        <v>4.0507428850287317</v>
      </c>
      <c r="J22" s="88">
        <f>'2016-2021YTD'!J57</f>
        <v>4.1478193285329423</v>
      </c>
      <c r="K22" s="88">
        <f>'2016-2021YTD'!K57</f>
        <v>4.2333709995424469</v>
      </c>
      <c r="L22" s="88"/>
      <c r="M22" s="73"/>
    </row>
    <row r="23" spans="1:17" x14ac:dyDescent="0.2">
      <c r="A23" s="26" t="s">
        <v>85</v>
      </c>
      <c r="B23" s="27">
        <f t="shared" ref="B23:F23" si="60">AVERAGE(B4,B6,B8,B10,B12,B14,B16,B18,B20,B22)</f>
        <v>4.0641276176450143</v>
      </c>
      <c r="C23" s="27">
        <f t="shared" si="60"/>
        <v>4.0918563551396518</v>
      </c>
      <c r="D23" s="27">
        <f t="shared" si="60"/>
        <v>3.9673458665815948</v>
      </c>
      <c r="E23" s="27">
        <f t="shared" si="60"/>
        <v>4.0026529249659779</v>
      </c>
      <c r="F23" s="27">
        <f t="shared" si="60"/>
        <v>4.0134163551068562</v>
      </c>
      <c r="G23" s="27">
        <f t="shared" ref="G23" si="61">AVERAGE(G4,G6,G8,G10,G12,G14,G16,G18,G20,G22)</f>
        <v>3.9815133302876662</v>
      </c>
      <c r="H23" s="27">
        <f t="shared" ref="H23" si="62">AVERAGE(H4,H6,H8,H10,H12,H14,H16,H18,H20,H22)</f>
        <v>3.9804655646526852</v>
      </c>
      <c r="I23" s="27">
        <f t="shared" ref="I23" si="63">AVERAGE(I4,I6,I8,I10,I12,I14,I16,I18,I20,I22)</f>
        <v>4.0304514749933489</v>
      </c>
      <c r="J23" s="27">
        <f t="shared" ref="J23" si="64">AVERAGE(J4,J6,J8,J10,J12,J14,J16,J18,J20,J22)</f>
        <v>4.1200210575546041</v>
      </c>
      <c r="K23" s="27">
        <f t="shared" ref="K23" si="65">AVERAGE(K4,K6,K8,K10,K12,K14,K16,K18,K20,K22)</f>
        <v>4.2255360445113803</v>
      </c>
      <c r="L23" s="89"/>
      <c r="M23" s="73"/>
    </row>
    <row r="24" spans="1:17" x14ac:dyDescent="0.2">
      <c r="A24" s="23" t="s">
        <v>96</v>
      </c>
      <c r="B24" s="28">
        <f>'2011 MC Topline 12YA'!J16</f>
        <v>4.0523736280848714</v>
      </c>
      <c r="C24" s="101">
        <f>'2012 Topline Reports'!L16</f>
        <v>4.0563504422439349</v>
      </c>
      <c r="D24" s="28">
        <f>'2013-2015'!L28</f>
        <v>3.9422788209343484</v>
      </c>
      <c r="E24" s="28">
        <f>'2013-2015'!M28</f>
        <v>4.0025313629974386</v>
      </c>
      <c r="F24" s="28">
        <f>'2013-2015'!N28</f>
        <v>4.064038580935172</v>
      </c>
      <c r="G24" s="88">
        <f>'2016-2021YTD'!G59</f>
        <v>3.9454996174078949</v>
      </c>
      <c r="H24" s="88">
        <f>'2016-2021YTD'!H59</f>
        <v>3.9877955639595268</v>
      </c>
      <c r="I24" s="88">
        <f>'2016-2021YTD'!I59</f>
        <v>4.0407290395729225</v>
      </c>
      <c r="J24" s="88">
        <f>'2016-2021YTD'!J59</f>
        <v>4.1662089561230067</v>
      </c>
      <c r="K24" s="88">
        <f>'2016-2021YTD'!K59</f>
        <v>4.2365259418668701</v>
      </c>
      <c r="L24" s="88"/>
      <c r="M24" s="73"/>
    </row>
    <row r="25" spans="1:17" x14ac:dyDescent="0.2">
      <c r="A25" s="26" t="s">
        <v>85</v>
      </c>
      <c r="B25" s="32">
        <f t="shared" ref="B25:K25" si="66">AVERAGE(B2,B4,B6,B8,B10,B12,B14,B16,B18,B20,B22)</f>
        <v>4.0641276176450143</v>
      </c>
      <c r="C25" s="32">
        <f t="shared" si="66"/>
        <v>4.0918563551396518</v>
      </c>
      <c r="D25" s="32">
        <f t="shared" si="66"/>
        <v>3.9673458665815948</v>
      </c>
      <c r="E25" s="32">
        <f t="shared" si="66"/>
        <v>4.0026529249659779</v>
      </c>
      <c r="F25" s="32">
        <f t="shared" si="66"/>
        <v>4.0134163551068562</v>
      </c>
      <c r="G25" s="32">
        <f t="shared" si="66"/>
        <v>3.9815133302876662</v>
      </c>
      <c r="H25" s="32">
        <f t="shared" si="66"/>
        <v>3.9804655646526852</v>
      </c>
      <c r="I25" s="32">
        <f t="shared" si="66"/>
        <v>4.0304514749933489</v>
      </c>
      <c r="J25" s="32">
        <f t="shared" si="66"/>
        <v>4.1200210575546041</v>
      </c>
      <c r="K25" s="32">
        <f t="shared" si="66"/>
        <v>4.2255360445113803</v>
      </c>
      <c r="L25" s="91"/>
      <c r="M25" s="73"/>
    </row>
    <row r="26" spans="1:17" x14ac:dyDescent="0.2">
      <c r="A26" s="23" t="s">
        <v>97</v>
      </c>
      <c r="B26" s="28">
        <f>'2011 MC Topline 12YA'!J17</f>
        <v>4.0540817280078194</v>
      </c>
      <c r="C26" s="101">
        <f>'2012 Topline Reports'!L17</f>
        <v>4.0620622038503535</v>
      </c>
      <c r="D26" s="28">
        <f>'2013-2015'!L30</f>
        <v>4.0006828442790852</v>
      </c>
      <c r="E26" s="28">
        <f>'2013-2015'!M30</f>
        <v>3.9714774019375292</v>
      </c>
      <c r="F26" s="28">
        <f>'2013-2015'!N30</f>
        <v>4.0560093905788923</v>
      </c>
      <c r="G26" s="88">
        <f>'2016-2021YTD'!G61</f>
        <v>3.9444763616736402</v>
      </c>
      <c r="H26" s="88">
        <f>'2016-2021YTD'!H61</f>
        <v>3.9988262085461761</v>
      </c>
      <c r="I26" s="88">
        <f>'2016-2021YTD'!I61</f>
        <v>4.0651282101830244</v>
      </c>
      <c r="J26" s="88">
        <f>'2016-2021YTD'!J61</f>
        <v>4.1615373054942388</v>
      </c>
      <c r="K26" s="88">
        <f>'2016-2021YTD'!K61</f>
        <v>4.2549992056924753</v>
      </c>
      <c r="L26" s="88"/>
      <c r="M26" s="73"/>
    </row>
    <row r="27" spans="1:17" x14ac:dyDescent="0.2">
      <c r="A27" s="26" t="s">
        <v>85</v>
      </c>
      <c r="B27" s="32">
        <f t="shared" ref="B27:K27" si="67">AVERAGE(B4,B6,B8,B10,B12,B14,B16,B18,B20,B22,B24)</f>
        <v>4.0630590731395468</v>
      </c>
      <c r="C27" s="32">
        <f t="shared" si="67"/>
        <v>4.0886285448764044</v>
      </c>
      <c r="D27" s="32">
        <f t="shared" si="67"/>
        <v>3.9650670442500271</v>
      </c>
      <c r="E27" s="32">
        <f t="shared" si="67"/>
        <v>4.0026418738779288</v>
      </c>
      <c r="F27" s="32">
        <f t="shared" si="67"/>
        <v>4.0180183756367027</v>
      </c>
      <c r="G27" s="32">
        <f t="shared" si="67"/>
        <v>3.9782393563895053</v>
      </c>
      <c r="H27" s="32">
        <f t="shared" si="67"/>
        <v>3.9811319282260347</v>
      </c>
      <c r="I27" s="32">
        <f t="shared" si="67"/>
        <v>4.0313857990460376</v>
      </c>
      <c r="J27" s="32">
        <f t="shared" si="67"/>
        <v>4.1242199574244589</v>
      </c>
      <c r="K27" s="32">
        <f t="shared" si="67"/>
        <v>4.2265351260891526</v>
      </c>
      <c r="L27" s="91"/>
      <c r="M27" s="73"/>
    </row>
    <row r="28" spans="1:17" x14ac:dyDescent="0.2">
      <c r="A28" s="33" t="s">
        <v>98</v>
      </c>
      <c r="B28" s="34">
        <f>'2011 MC Topline 12YA'!J18</f>
        <v>4.047746642014407</v>
      </c>
      <c r="C28" s="102">
        <f>'2012 Topline Reports'!L18</f>
        <v>4.0891770068251985</v>
      </c>
      <c r="D28" s="34">
        <f>'2013-2015'!L32</f>
        <v>3.9987491015950969</v>
      </c>
      <c r="E28" s="34">
        <f>'2013-2015'!M32</f>
        <v>4.0145845374007481</v>
      </c>
      <c r="F28" s="34">
        <f>'2013-2015'!N32</f>
        <v>4.0923192537051554</v>
      </c>
      <c r="G28" s="92">
        <f>'2016-2021YTD'!G63</f>
        <v>3.9732042118276931</v>
      </c>
      <c r="H28" s="92">
        <f>'2016-2021YTD'!H63</f>
        <v>3.9702814751758329</v>
      </c>
      <c r="I28" s="92">
        <f>'2016-2021YTD'!I63</f>
        <v>4.057953445183534</v>
      </c>
      <c r="J28" s="92">
        <f>'2016-2021YTD'!J63</f>
        <v>4.1403868790464697</v>
      </c>
      <c r="K28" s="92">
        <f>'2016-2021YTD'!K63</f>
        <v>4.2621212909590964</v>
      </c>
      <c r="L28" s="92"/>
      <c r="M28" s="73"/>
    </row>
    <row r="29" spans="1:17" x14ac:dyDescent="0.2">
      <c r="A29" s="26" t="s">
        <v>85</v>
      </c>
      <c r="B29" s="27">
        <f>AVERAGE(B4,B6,B8,B10,B12,B14,B16,B18,B20,B22,B24,B26,B28)</f>
        <v>4.0611906288120956</v>
      </c>
      <c r="C29" s="27">
        <f>AVERAGE(C4,C6,C8,C10,C12,C14,C16,C18,C20,C22,C24,C26,C28)</f>
        <v>4.0866271695627692</v>
      </c>
      <c r="D29" s="27">
        <f t="shared" ref="D29:K29" si="68">AVERAGE(D4,D6,D8,D10,D12,D14,D16,D18,D20,D22,D24,D26,D28)</f>
        <v>3.9703976486634214</v>
      </c>
      <c r="E29" s="27">
        <f t="shared" si="68"/>
        <v>4.0011632732304232</v>
      </c>
      <c r="F29" s="27">
        <f t="shared" si="68"/>
        <v>4.0266562135605986</v>
      </c>
      <c r="G29" s="27">
        <f t="shared" si="68"/>
        <v>3.9752548841373763</v>
      </c>
      <c r="H29" s="27">
        <f t="shared" si="68"/>
        <v>3.9816583764775686</v>
      </c>
      <c r="I29" s="27">
        <f t="shared" si="68"/>
        <v>4.036025034220998</v>
      </c>
      <c r="J29" s="27">
        <f t="shared" si="68"/>
        <v>4.1283341320161346</v>
      </c>
      <c r="K29" s="27">
        <f t="shared" si="68"/>
        <v>4.2314620679717114</v>
      </c>
      <c r="L29" s="27">
        <f>AVERAGE(L4,L6,L8,L10,L12,L14,L16,L18,L20)</f>
        <v>4.2755877418552366</v>
      </c>
      <c r="M29" s="35" t="s">
        <v>83</v>
      </c>
      <c r="P29" s="30"/>
    </row>
    <row r="30" spans="1:17" ht="13.5" x14ac:dyDescent="0.25">
      <c r="A30" s="22" t="s">
        <v>108</v>
      </c>
      <c r="B30" s="22"/>
      <c r="C30" s="73">
        <f>(C29-B29)/B29</f>
        <v>6.263321049303665E-3</v>
      </c>
      <c r="D30" s="73">
        <f>(D29-C29)/C29</f>
        <v>-2.8441430078336032E-2</v>
      </c>
      <c r="E30" s="73">
        <f t="shared" ref="E30:L30" si="69">(E29-D29)/D29</f>
        <v>7.7487514575167657E-3</v>
      </c>
      <c r="F30" s="73">
        <f t="shared" si="69"/>
        <v>6.3713821679646405E-3</v>
      </c>
      <c r="G30" s="73">
        <f t="shared" si="69"/>
        <v>-1.2765263955268311E-2</v>
      </c>
      <c r="H30" s="73">
        <f t="shared" si="69"/>
        <v>1.6108381793943452E-3</v>
      </c>
      <c r="I30" s="73">
        <f t="shared" si="69"/>
        <v>1.3654274827948867E-2</v>
      </c>
      <c r="J30" s="73">
        <f t="shared" si="69"/>
        <v>2.2871289700251676E-2</v>
      </c>
      <c r="K30" s="73">
        <f t="shared" si="69"/>
        <v>2.4980520630778665E-2</v>
      </c>
      <c r="L30" s="73">
        <f t="shared" si="69"/>
        <v>1.0427997031455409E-2</v>
      </c>
      <c r="M30" s="37"/>
      <c r="Q30" s="38"/>
    </row>
    <row r="31" spans="1:17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40"/>
    </row>
    <row r="32" spans="1:17" ht="13.5" x14ac:dyDescent="0.25">
      <c r="A32" s="41" t="s">
        <v>168</v>
      </c>
      <c r="B32" s="41"/>
      <c r="C32" s="41"/>
      <c r="D32" s="41"/>
      <c r="E32" s="41"/>
      <c r="F32" s="41"/>
      <c r="G32" s="39"/>
      <c r="H32" s="39"/>
      <c r="I32" s="39"/>
      <c r="J32" s="39"/>
      <c r="K32" s="39"/>
      <c r="L32" s="39"/>
      <c r="M32" s="40"/>
    </row>
    <row r="33" spans="1:17" ht="13.5" x14ac:dyDescent="0.25">
      <c r="A33" s="41" t="s">
        <v>167</v>
      </c>
      <c r="B33" s="41"/>
      <c r="C33" s="42"/>
      <c r="D33" s="42"/>
      <c r="E33" s="42"/>
      <c r="F33" s="42"/>
      <c r="G33" s="43"/>
      <c r="H33" s="43"/>
      <c r="I33" s="43"/>
      <c r="J33" s="43"/>
      <c r="K33" s="43"/>
      <c r="L33" s="43"/>
      <c r="M33" s="39"/>
    </row>
    <row r="34" spans="1:17" ht="13.5" x14ac:dyDescent="0.25">
      <c r="A34" s="41" t="s">
        <v>166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39"/>
    </row>
    <row r="35" spans="1:17" s="43" customFormat="1" x14ac:dyDescent="0.2">
      <c r="A35" s="36"/>
      <c r="B35" s="36"/>
      <c r="C35" s="36"/>
      <c r="D35" s="36"/>
      <c r="E35" s="36"/>
      <c r="F35" s="36"/>
      <c r="G35" s="25"/>
      <c r="H35" s="25"/>
      <c r="I35" s="25"/>
      <c r="J35" s="25"/>
      <c r="K35" s="25"/>
      <c r="L35" s="25"/>
      <c r="P35" s="45"/>
      <c r="Q35" s="45"/>
    </row>
    <row r="36" spans="1:17" s="44" customFormat="1" x14ac:dyDescent="0.2">
      <c r="A36" s="36"/>
      <c r="B36" s="36"/>
      <c r="C36" s="36"/>
      <c r="D36" s="36"/>
      <c r="E36" s="36"/>
      <c r="F36" s="36"/>
      <c r="G36" s="25"/>
      <c r="H36" s="25"/>
      <c r="I36" s="25"/>
      <c r="J36" s="25"/>
      <c r="K36" s="25"/>
      <c r="L36" s="25"/>
    </row>
    <row r="37" spans="1:17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</row>
    <row r="38" spans="1:17" s="43" customFormat="1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P38" s="45"/>
      <c r="Q38" s="45"/>
    </row>
    <row r="39" spans="1:17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</row>
    <row r="40" spans="1:17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</row>
    <row r="42" spans="1:17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</row>
  </sheetData>
  <sheetProtection algorithmName="SHA-512" hashValue="CJo5eRIlB286WryWAVojLv92x5nvLEQeNtD5f+FpITkZeCs8asrrwt/rSVXUpk57O9pygF566N3h+JjZFT+IZA==" saltValue="qmmRFGGb64LBnR6Ion56OA==" spinCount="100000" sheet="1" objects="1" scenarios="1"/>
  <mergeCells count="2">
    <mergeCell ref="A1:M1"/>
    <mergeCell ref="A2:M2"/>
  </mergeCells>
  <pageMargins left="0.2" right="0.15" top="1" bottom="1" header="0.5" footer="0.5"/>
  <pageSetup scale="65" orientation="landscape" horizontalDpi="300" verticalDpi="300" r:id="rId1"/>
  <headerFooter alignWithMargins="0"/>
  <ignoredErrors>
    <ignoredError sqref="B26:K26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1B5EC991-F7FA-4C37-91B2-408B019E27E3}">
            <xm:f>NOT(ISERROR(SEARCH("-",M4)))</xm:f>
            <xm:f>"-"</xm:f>
            <x14:dxf>
              <font>
                <color rgb="FFFF0000"/>
              </font>
            </x14:dxf>
          </x14:cfRule>
          <xm:sqref>M4:M28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2011 MC Topline 12YA</vt:lpstr>
      <vt:lpstr>2012 Topline Reports</vt:lpstr>
      <vt:lpstr>2013-2015</vt:lpstr>
      <vt:lpstr>2016-2021YTD</vt:lpstr>
      <vt:lpstr>Dollar Sales</vt:lpstr>
      <vt:lpstr>Lbs</vt:lpstr>
      <vt:lpstr>Price per Lb</vt:lpstr>
      <vt:lpstr>'2013-2015'!Print_Area</vt:lpstr>
      <vt:lpstr>'2016-2021YTD'!Print_Area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Fusion-7</dc:creator>
  <cp:lastModifiedBy>Conor Jeffries</cp:lastModifiedBy>
  <dcterms:created xsi:type="dcterms:W3CDTF">2021-06-16T13:47:59Z</dcterms:created>
  <dcterms:modified xsi:type="dcterms:W3CDTF">2021-10-29T21:55:36Z</dcterms:modified>
</cp:coreProperties>
</file>